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8.xml" ContentType="application/vnd.openxmlformats-officedocument.drawingml.chartshapes+xml"/>
  <Override PartName="/xl/charts/chart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9.xml" ContentType="application/vnd.openxmlformats-officedocument.drawingml.chartshapes+xml"/>
  <Override PartName="/xl/charts/chart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8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2.xml" ContentType="application/vnd.openxmlformats-officedocument.drawingml.chartshapes+xml"/>
  <Override PartName="/xl/charts/chart9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1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5.xml" ContentType="application/vnd.openxmlformats-officedocument.drawingml.chartshapes+xml"/>
  <Override PartName="/xl/charts/chart11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2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8.xml" ContentType="application/vnd.openxmlformats-officedocument.drawingml.chartshapes+xml"/>
  <Override PartName="/xl/charts/chart13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9.xml" ContentType="application/vnd.openxmlformats-officedocument.drawingml.chartshapes+xml"/>
  <Override PartName="/xl/charts/chart14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0.xml" ContentType="application/vnd.openxmlformats-officedocument.drawingml.chartshapes+xml"/>
  <Override PartName="/xl/charts/chart15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1.xml" ContentType="application/vnd.openxmlformats-officedocument.drawingml.chartshapes+xml"/>
  <Override PartName="/xl/charts/chart16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2.xml" ContentType="application/vnd.openxmlformats-officedocument.drawingml.chartshapes+xml"/>
  <Override PartName="/xl/charts/chart17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3.xml" ContentType="application/vnd.openxmlformats-officedocument.drawingml.chartshapes+xml"/>
  <Override PartName="/xl/charts/chart18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24.xml" ContentType="application/vnd.openxmlformats-officedocument.drawingml.chartshapes+xml"/>
  <Override PartName="/xl/charts/chart19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ЦНТУ_Навчальна\Методичні_видання\Посібник_Аналіз_даних\"/>
    </mc:Choice>
  </mc:AlternateContent>
  <xr:revisionPtr revIDLastSave="0" documentId="13_ncr:1_{8CBA9334-E487-4D53-A44B-92C9772F7392}" xr6:coauthVersionLast="45" xr6:coauthVersionMax="45" xr10:uidLastSave="{00000000-0000-0000-0000-000000000000}"/>
  <bookViews>
    <workbookView xWindow="-110" yWindow="-110" windowWidth="19420" windowHeight="10560" xr2:uid="{00000000-000D-0000-FFFF-FFFF00000000}"/>
  </bookViews>
  <sheets>
    <sheet name="Приклад_Бетон" sheetId="2" r:id="rId1"/>
    <sheet name="6.1" sheetId="10" r:id="rId2"/>
    <sheet name="6.2" sheetId="7" r:id="rId3"/>
    <sheet name="6.3" sheetId="8" r:id="rId4"/>
    <sheet name="6.4" sheetId="11" r:id="rId5"/>
    <sheet name="6.5" sheetId="12" r:id="rId6"/>
    <sheet name="6.6" sheetId="13" r:id="rId7"/>
    <sheet name="6.7" sheetId="9" r:id="rId8"/>
    <sheet name="6.8" sheetId="15" r:id="rId9"/>
  </sheets>
  <definedNames>
    <definedName name="solver_adj" localSheetId="3" hidden="1">'6.3'!$H$19</definedName>
    <definedName name="solver_adj" localSheetId="6" hidden="1">'6.6'!$B$26:$D$26</definedName>
    <definedName name="solver_cvg" localSheetId="3" hidden="1">0.0001</definedName>
    <definedName name="solver_cvg" localSheetId="6" hidden="1">0.0001</definedName>
    <definedName name="solver_drv" localSheetId="3" hidden="1">1</definedName>
    <definedName name="solver_drv" localSheetId="6" hidden="1">1</definedName>
    <definedName name="solver_eng" localSheetId="3" hidden="1">1</definedName>
    <definedName name="solver_eng" localSheetId="6" hidden="1">1</definedName>
    <definedName name="solver_est" localSheetId="3" hidden="1">1</definedName>
    <definedName name="solver_est" localSheetId="6" hidden="1">1</definedName>
    <definedName name="solver_itr" localSheetId="3" hidden="1">2147483647</definedName>
    <definedName name="solver_itr" localSheetId="6" hidden="1">2147483647</definedName>
    <definedName name="solver_mip" localSheetId="3" hidden="1">2147483647</definedName>
    <definedName name="solver_mip" localSheetId="6" hidden="1">2147483647</definedName>
    <definedName name="solver_mni" localSheetId="3" hidden="1">30</definedName>
    <definedName name="solver_mni" localSheetId="6" hidden="1">30</definedName>
    <definedName name="solver_mrt" localSheetId="3" hidden="1">0.075</definedName>
    <definedName name="solver_mrt" localSheetId="6" hidden="1">0.075</definedName>
    <definedName name="solver_msl" localSheetId="3" hidden="1">2</definedName>
    <definedName name="solver_msl" localSheetId="6" hidden="1">2</definedName>
    <definedName name="solver_neg" localSheetId="3" hidden="1">1</definedName>
    <definedName name="solver_neg" localSheetId="6" hidden="1">2</definedName>
    <definedName name="solver_nod" localSheetId="3" hidden="1">2147483647</definedName>
    <definedName name="solver_nod" localSheetId="6" hidden="1">2147483647</definedName>
    <definedName name="solver_num" localSheetId="3" hidden="1">0</definedName>
    <definedName name="solver_num" localSheetId="6" hidden="1">0</definedName>
    <definedName name="solver_nwt" localSheetId="3" hidden="1">1</definedName>
    <definedName name="solver_nwt" localSheetId="6" hidden="1">1</definedName>
    <definedName name="solver_opt" localSheetId="3" hidden="1">'6.3'!$H$21</definedName>
    <definedName name="solver_opt" localSheetId="6" hidden="1">'6.6'!$H$26</definedName>
    <definedName name="solver_pre" localSheetId="3" hidden="1">0.000001</definedName>
    <definedName name="solver_pre" localSheetId="6" hidden="1">0.000001</definedName>
    <definedName name="solver_rbv" localSheetId="3" hidden="1">1</definedName>
    <definedName name="solver_rbv" localSheetId="6" hidden="1">1</definedName>
    <definedName name="solver_rlx" localSheetId="3" hidden="1">2</definedName>
    <definedName name="solver_rlx" localSheetId="6" hidden="1">2</definedName>
    <definedName name="solver_rsd" localSheetId="3" hidden="1">0</definedName>
    <definedName name="solver_rsd" localSheetId="6" hidden="1">0</definedName>
    <definedName name="solver_scl" localSheetId="3" hidden="1">1</definedName>
    <definedName name="solver_scl" localSheetId="6" hidden="1">1</definedName>
    <definedName name="solver_sho" localSheetId="3" hidden="1">2</definedName>
    <definedName name="solver_sho" localSheetId="6" hidden="1">2</definedName>
    <definedName name="solver_ssz" localSheetId="3" hidden="1">100</definedName>
    <definedName name="solver_ssz" localSheetId="6" hidden="1">100</definedName>
    <definedName name="solver_tim" localSheetId="3" hidden="1">2147483647</definedName>
    <definedName name="solver_tim" localSheetId="6" hidden="1">2147483647</definedName>
    <definedName name="solver_tol" localSheetId="3" hidden="1">0.01</definedName>
    <definedName name="solver_tol" localSheetId="6" hidden="1">0.01</definedName>
    <definedName name="solver_typ" localSheetId="3" hidden="1">3</definedName>
    <definedName name="solver_typ" localSheetId="6" hidden="1">2</definedName>
    <definedName name="solver_val" localSheetId="3" hidden="1">0</definedName>
    <definedName name="solver_val" localSheetId="6" hidden="1">0</definedName>
    <definedName name="solver_ver" localSheetId="3" hidden="1">3</definedName>
    <definedName name="solver_ver" localSheetId="6" hidden="1">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5" i="2" l="1"/>
  <c r="M6" i="2"/>
  <c r="M7" i="2"/>
  <c r="M8" i="2"/>
  <c r="M9" i="2"/>
  <c r="M4" i="2"/>
  <c r="B24" i="15" l="1"/>
  <c r="F10" i="15" s="1"/>
  <c r="B25" i="15"/>
  <c r="B26" i="15"/>
  <c r="B27" i="15"/>
  <c r="C28" i="15"/>
  <c r="C30" i="15" s="1"/>
  <c r="B28" i="15"/>
  <c r="B30" i="15" s="1"/>
  <c r="F9" i="15" s="1"/>
  <c r="C27" i="15"/>
  <c r="C26" i="15"/>
  <c r="C25" i="15"/>
  <c r="C24" i="15"/>
  <c r="F11" i="15" s="1"/>
  <c r="F13" i="15" l="1"/>
  <c r="F3" i="15"/>
  <c r="B29" i="15"/>
  <c r="C29" i="15"/>
  <c r="C30" i="13" l="1"/>
  <c r="C40" i="13" s="1"/>
  <c r="D30" i="13"/>
  <c r="D40" i="13" s="1"/>
  <c r="E30" i="13"/>
  <c r="E40" i="13" s="1"/>
  <c r="F30" i="13"/>
  <c r="F40" i="13" s="1"/>
  <c r="G30" i="13"/>
  <c r="G40" i="13" s="1"/>
  <c r="H30" i="13"/>
  <c r="H40" i="13" s="1"/>
  <c r="I30" i="13"/>
  <c r="I40" i="13" s="1"/>
  <c r="C31" i="13"/>
  <c r="C41" i="13" s="1"/>
  <c r="D31" i="13"/>
  <c r="D41" i="13" s="1"/>
  <c r="E31" i="13"/>
  <c r="E41" i="13" s="1"/>
  <c r="F31" i="13"/>
  <c r="F41" i="13" s="1"/>
  <c r="G31" i="13"/>
  <c r="G41" i="13" s="1"/>
  <c r="H31" i="13"/>
  <c r="H41" i="13" s="1"/>
  <c r="I31" i="13"/>
  <c r="I41" i="13" s="1"/>
  <c r="C32" i="13"/>
  <c r="C42" i="13" s="1"/>
  <c r="D32" i="13"/>
  <c r="D42" i="13" s="1"/>
  <c r="E32" i="13"/>
  <c r="E42" i="13" s="1"/>
  <c r="F32" i="13"/>
  <c r="F42" i="13" s="1"/>
  <c r="G32" i="13"/>
  <c r="G42" i="13" s="1"/>
  <c r="H32" i="13"/>
  <c r="H42" i="13" s="1"/>
  <c r="C33" i="13"/>
  <c r="C43" i="13" s="1"/>
  <c r="D33" i="13"/>
  <c r="D43" i="13" s="1"/>
  <c r="E33" i="13"/>
  <c r="E43" i="13" s="1"/>
  <c r="F33" i="13"/>
  <c r="F43" i="13" s="1"/>
  <c r="G33" i="13"/>
  <c r="G43" i="13" s="1"/>
  <c r="C34" i="13"/>
  <c r="C44" i="13" s="1"/>
  <c r="D34" i="13"/>
  <c r="D44" i="13" s="1"/>
  <c r="E34" i="13"/>
  <c r="E44" i="13" s="1"/>
  <c r="F34" i="13"/>
  <c r="F44" i="13" s="1"/>
  <c r="C35" i="13"/>
  <c r="C45" i="13" s="1"/>
  <c r="D35" i="13"/>
  <c r="D45" i="13" s="1"/>
  <c r="E35" i="13"/>
  <c r="E45" i="13" s="1"/>
  <c r="C36" i="13"/>
  <c r="C46" i="13" s="1"/>
  <c r="D36" i="13"/>
  <c r="D46" i="13" s="1"/>
  <c r="E36" i="13"/>
  <c r="E46" i="13" s="1"/>
  <c r="B31" i="13"/>
  <c r="B41" i="13" s="1"/>
  <c r="B32" i="13"/>
  <c r="B42" i="13" s="1"/>
  <c r="B33" i="13"/>
  <c r="B43" i="13" s="1"/>
  <c r="B34" i="13"/>
  <c r="B44" i="13" s="1"/>
  <c r="B35" i="13"/>
  <c r="B45" i="13" s="1"/>
  <c r="B36" i="13"/>
  <c r="B46" i="13" s="1"/>
  <c r="B30" i="13"/>
  <c r="B40" i="13" s="1"/>
  <c r="H26" i="13" l="1"/>
  <c r="E50" i="12" l="1"/>
  <c r="E6" i="12" s="1"/>
  <c r="G5" i="12"/>
  <c r="G6" i="12"/>
  <c r="G7" i="12"/>
  <c r="E5" i="12" l="1"/>
  <c r="E7" i="12"/>
  <c r="E9" i="12"/>
  <c r="F9" i="12" s="1"/>
  <c r="G9" i="12"/>
  <c r="H9" i="12" s="1"/>
  <c r="E10" i="12"/>
  <c r="F10" i="12" s="1"/>
  <c r="G10" i="12"/>
  <c r="H10" i="12" s="1"/>
  <c r="E11" i="12"/>
  <c r="F11" i="12" s="1"/>
  <c r="G11" i="12"/>
  <c r="H11" i="12" s="1"/>
  <c r="E12" i="12"/>
  <c r="F12" i="12" s="1"/>
  <c r="G12" i="12"/>
  <c r="H12" i="12" s="1"/>
  <c r="E13" i="12"/>
  <c r="F13" i="12" s="1"/>
  <c r="G13" i="12"/>
  <c r="H13" i="12" s="1"/>
  <c r="E14" i="12"/>
  <c r="F14" i="12" s="1"/>
  <c r="G14" i="12"/>
  <c r="H14" i="12" s="1"/>
  <c r="E15" i="12"/>
  <c r="F15" i="12" s="1"/>
  <c r="G15" i="12"/>
  <c r="H15" i="12" s="1"/>
  <c r="E16" i="12"/>
  <c r="F16" i="12" s="1"/>
  <c r="G16" i="12"/>
  <c r="H16" i="12" s="1"/>
  <c r="E17" i="12"/>
  <c r="F17" i="12" s="1"/>
  <c r="G17" i="12"/>
  <c r="H17" i="12" s="1"/>
  <c r="E18" i="12"/>
  <c r="F18" i="12" s="1"/>
  <c r="G18" i="12"/>
  <c r="H18" i="12" s="1"/>
  <c r="E19" i="12"/>
  <c r="F19" i="12" s="1"/>
  <c r="G19" i="12"/>
  <c r="H19" i="12" s="1"/>
  <c r="E20" i="12"/>
  <c r="F20" i="12" s="1"/>
  <c r="G20" i="12"/>
  <c r="H20" i="12" s="1"/>
  <c r="E21" i="12"/>
  <c r="F21" i="12" s="1"/>
  <c r="G21" i="12"/>
  <c r="H21" i="12" s="1"/>
  <c r="E22" i="12"/>
  <c r="F22" i="12" s="1"/>
  <c r="G22" i="12"/>
  <c r="H22" i="12" s="1"/>
  <c r="E23" i="12"/>
  <c r="F23" i="12" s="1"/>
  <c r="G23" i="12"/>
  <c r="H23" i="12" s="1"/>
  <c r="E24" i="12"/>
  <c r="F24" i="12" s="1"/>
  <c r="G24" i="12"/>
  <c r="H24" i="12" s="1"/>
  <c r="E25" i="12"/>
  <c r="F25" i="12" s="1"/>
  <c r="G25" i="12"/>
  <c r="H25" i="12" s="1"/>
  <c r="E26" i="12"/>
  <c r="F26" i="12" s="1"/>
  <c r="G26" i="12"/>
  <c r="H26" i="12" s="1"/>
  <c r="E27" i="12"/>
  <c r="F27" i="12" s="1"/>
  <c r="G27" i="12"/>
  <c r="H27" i="12" s="1"/>
  <c r="E28" i="12"/>
  <c r="F28" i="12" s="1"/>
  <c r="G28" i="12"/>
  <c r="H28" i="12" s="1"/>
  <c r="E29" i="12"/>
  <c r="F29" i="12" s="1"/>
  <c r="G29" i="12"/>
  <c r="H29" i="12" s="1"/>
  <c r="E30" i="12"/>
  <c r="F30" i="12" s="1"/>
  <c r="G30" i="12"/>
  <c r="H30" i="12" s="1"/>
  <c r="E31" i="12"/>
  <c r="F31" i="12" s="1"/>
  <c r="G31" i="12"/>
  <c r="H31" i="12" s="1"/>
  <c r="E32" i="12"/>
  <c r="F32" i="12" s="1"/>
  <c r="G32" i="12"/>
  <c r="H32" i="12" s="1"/>
  <c r="E33" i="12"/>
  <c r="F33" i="12" s="1"/>
  <c r="G33" i="12"/>
  <c r="H33" i="12" s="1"/>
  <c r="E34" i="12"/>
  <c r="F34" i="12" s="1"/>
  <c r="G34" i="12"/>
  <c r="H34" i="12" s="1"/>
  <c r="E35" i="12"/>
  <c r="F35" i="12" s="1"/>
  <c r="G35" i="12"/>
  <c r="H35" i="12" s="1"/>
  <c r="E36" i="12"/>
  <c r="F36" i="12" s="1"/>
  <c r="G36" i="12"/>
  <c r="H36" i="12" s="1"/>
  <c r="E37" i="12"/>
  <c r="F37" i="12" s="1"/>
  <c r="G37" i="12"/>
  <c r="H37" i="12" s="1"/>
  <c r="E38" i="12"/>
  <c r="F38" i="12" s="1"/>
  <c r="G38" i="12"/>
  <c r="H38" i="12" s="1"/>
  <c r="E39" i="12"/>
  <c r="F39" i="12" s="1"/>
  <c r="G39" i="12"/>
  <c r="H39" i="12" s="1"/>
  <c r="E40" i="12"/>
  <c r="F40" i="12" s="1"/>
  <c r="G40" i="12"/>
  <c r="H40" i="12" s="1"/>
  <c r="E41" i="12"/>
  <c r="F41" i="12" s="1"/>
  <c r="G41" i="12"/>
  <c r="H41" i="12" s="1"/>
  <c r="E42" i="12"/>
  <c r="F42" i="12" s="1"/>
  <c r="G42" i="12"/>
  <c r="H42" i="12" s="1"/>
  <c r="E43" i="12"/>
  <c r="F43" i="12" s="1"/>
  <c r="G43" i="12"/>
  <c r="H43" i="12" s="1"/>
  <c r="E44" i="12"/>
  <c r="F44" i="12" s="1"/>
  <c r="G44" i="12"/>
  <c r="H44" i="12" s="1"/>
  <c r="E45" i="12"/>
  <c r="F45" i="12" s="1"/>
  <c r="G45" i="12"/>
  <c r="H45" i="12" s="1"/>
  <c r="E46" i="12"/>
  <c r="F46" i="12" s="1"/>
  <c r="G46" i="12"/>
  <c r="H46" i="12" s="1"/>
  <c r="E47" i="12"/>
  <c r="F47" i="12" s="1"/>
  <c r="G47" i="12"/>
  <c r="H47" i="12" s="1"/>
  <c r="G8" i="12"/>
  <c r="H8" i="12" s="1"/>
  <c r="E8" i="12"/>
  <c r="F8" i="12" s="1"/>
  <c r="D38" i="11"/>
  <c r="E38" i="11"/>
  <c r="D39" i="11"/>
  <c r="E39" i="11"/>
  <c r="C39" i="11"/>
  <c r="C38" i="11"/>
  <c r="H53" i="12" l="1"/>
  <c r="F53" i="12"/>
  <c r="F52" i="12"/>
  <c r="H52" i="12"/>
  <c r="F6" i="11"/>
  <c r="I6" i="11" s="1"/>
  <c r="G6" i="11"/>
  <c r="J6" i="11" s="1"/>
  <c r="H6" i="11"/>
  <c r="K6" i="11" s="1"/>
  <c r="F7" i="11"/>
  <c r="I7" i="11" s="1"/>
  <c r="G7" i="11"/>
  <c r="J7" i="11" s="1"/>
  <c r="H7" i="11"/>
  <c r="K7" i="11" s="1"/>
  <c r="F8" i="11"/>
  <c r="I8" i="11" s="1"/>
  <c r="G8" i="11"/>
  <c r="J8" i="11" s="1"/>
  <c r="H8" i="11"/>
  <c r="K8" i="11" s="1"/>
  <c r="F9" i="11"/>
  <c r="I9" i="11" s="1"/>
  <c r="G9" i="11"/>
  <c r="J9" i="11" s="1"/>
  <c r="H9" i="11"/>
  <c r="K9" i="11" s="1"/>
  <c r="F10" i="11"/>
  <c r="I10" i="11" s="1"/>
  <c r="G10" i="11"/>
  <c r="J10" i="11" s="1"/>
  <c r="H10" i="11"/>
  <c r="K10" i="11" s="1"/>
  <c r="F11" i="11"/>
  <c r="I11" i="11" s="1"/>
  <c r="G11" i="11"/>
  <c r="J11" i="11" s="1"/>
  <c r="H11" i="11"/>
  <c r="K11" i="11" s="1"/>
  <c r="F12" i="11"/>
  <c r="I12" i="11" s="1"/>
  <c r="G12" i="11"/>
  <c r="J12" i="11" s="1"/>
  <c r="H12" i="11"/>
  <c r="K12" i="11" s="1"/>
  <c r="F13" i="11"/>
  <c r="I13" i="11" s="1"/>
  <c r="G13" i="11"/>
  <c r="J13" i="11" s="1"/>
  <c r="H13" i="11"/>
  <c r="K13" i="11" s="1"/>
  <c r="F14" i="11"/>
  <c r="I14" i="11" s="1"/>
  <c r="G14" i="11"/>
  <c r="J14" i="11" s="1"/>
  <c r="H14" i="11"/>
  <c r="K14" i="11" s="1"/>
  <c r="F15" i="11"/>
  <c r="I15" i="11" s="1"/>
  <c r="G15" i="11"/>
  <c r="J15" i="11" s="1"/>
  <c r="H15" i="11"/>
  <c r="K15" i="11" s="1"/>
  <c r="F16" i="11"/>
  <c r="I16" i="11" s="1"/>
  <c r="G16" i="11"/>
  <c r="J16" i="11" s="1"/>
  <c r="H16" i="11"/>
  <c r="K16" i="11" s="1"/>
  <c r="F17" i="11"/>
  <c r="I17" i="11" s="1"/>
  <c r="G17" i="11"/>
  <c r="J17" i="11" s="1"/>
  <c r="H17" i="11"/>
  <c r="K17" i="11" s="1"/>
  <c r="F18" i="11"/>
  <c r="I18" i="11" s="1"/>
  <c r="G18" i="11"/>
  <c r="J18" i="11" s="1"/>
  <c r="H18" i="11"/>
  <c r="K18" i="11" s="1"/>
  <c r="F19" i="11"/>
  <c r="I19" i="11" s="1"/>
  <c r="G19" i="11"/>
  <c r="J19" i="11" s="1"/>
  <c r="H19" i="11"/>
  <c r="K19" i="11" s="1"/>
  <c r="F20" i="11"/>
  <c r="I20" i="11" s="1"/>
  <c r="G20" i="11"/>
  <c r="J20" i="11" s="1"/>
  <c r="H20" i="11"/>
  <c r="K20" i="11" s="1"/>
  <c r="F21" i="11"/>
  <c r="I21" i="11" s="1"/>
  <c r="G21" i="11"/>
  <c r="J21" i="11" s="1"/>
  <c r="H21" i="11"/>
  <c r="K21" i="11" s="1"/>
  <c r="F22" i="11"/>
  <c r="I22" i="11" s="1"/>
  <c r="G22" i="11"/>
  <c r="J22" i="11" s="1"/>
  <c r="H22" i="11"/>
  <c r="K22" i="11" s="1"/>
  <c r="F23" i="11"/>
  <c r="I23" i="11" s="1"/>
  <c r="G23" i="11"/>
  <c r="J23" i="11" s="1"/>
  <c r="H23" i="11"/>
  <c r="K23" i="11" s="1"/>
  <c r="F24" i="11"/>
  <c r="I24" i="11" s="1"/>
  <c r="G24" i="11"/>
  <c r="J24" i="11" s="1"/>
  <c r="H24" i="11"/>
  <c r="K24" i="11" s="1"/>
  <c r="F25" i="11"/>
  <c r="I25" i="11" s="1"/>
  <c r="G25" i="11"/>
  <c r="J25" i="11" s="1"/>
  <c r="H25" i="11"/>
  <c r="K25" i="11" s="1"/>
  <c r="F26" i="11"/>
  <c r="I26" i="11" s="1"/>
  <c r="G26" i="11"/>
  <c r="J26" i="11" s="1"/>
  <c r="H26" i="11"/>
  <c r="K26" i="11" s="1"/>
  <c r="F27" i="11"/>
  <c r="I27" i="11" s="1"/>
  <c r="G27" i="11"/>
  <c r="J27" i="11" s="1"/>
  <c r="H27" i="11"/>
  <c r="K27" i="11" s="1"/>
  <c r="F28" i="11"/>
  <c r="I28" i="11" s="1"/>
  <c r="G28" i="11"/>
  <c r="J28" i="11" s="1"/>
  <c r="H28" i="11"/>
  <c r="K28" i="11" s="1"/>
  <c r="F29" i="11"/>
  <c r="I29" i="11" s="1"/>
  <c r="G29" i="11"/>
  <c r="J29" i="11" s="1"/>
  <c r="H29" i="11"/>
  <c r="K29" i="11" s="1"/>
  <c r="F30" i="11"/>
  <c r="I30" i="11" s="1"/>
  <c r="G30" i="11"/>
  <c r="J30" i="11" s="1"/>
  <c r="H30" i="11"/>
  <c r="K30" i="11" s="1"/>
  <c r="F31" i="11"/>
  <c r="I31" i="11" s="1"/>
  <c r="G31" i="11"/>
  <c r="J31" i="11" s="1"/>
  <c r="H31" i="11"/>
  <c r="K31" i="11" s="1"/>
  <c r="F32" i="11"/>
  <c r="I32" i="11" s="1"/>
  <c r="G32" i="11"/>
  <c r="J32" i="11" s="1"/>
  <c r="H32" i="11"/>
  <c r="K32" i="11" s="1"/>
  <c r="F33" i="11"/>
  <c r="I33" i="11" s="1"/>
  <c r="G33" i="11"/>
  <c r="J33" i="11" s="1"/>
  <c r="H33" i="11"/>
  <c r="K33" i="11" s="1"/>
  <c r="F34" i="11"/>
  <c r="I34" i="11" s="1"/>
  <c r="G34" i="11"/>
  <c r="J34" i="11" s="1"/>
  <c r="H34" i="11"/>
  <c r="K34" i="11" s="1"/>
  <c r="G5" i="11"/>
  <c r="J5" i="11" s="1"/>
  <c r="H5" i="11"/>
  <c r="K5" i="11" s="1"/>
  <c r="F5" i="11"/>
  <c r="I5" i="11" s="1"/>
  <c r="E36" i="11"/>
  <c r="D36" i="11"/>
  <c r="C36" i="11"/>
  <c r="B41" i="11"/>
  <c r="C41" i="11"/>
  <c r="D41" i="11"/>
  <c r="E41" i="11"/>
  <c r="B42" i="11"/>
  <c r="C42" i="11"/>
  <c r="D42" i="11"/>
  <c r="E42" i="11"/>
  <c r="B43" i="11"/>
  <c r="C43" i="11"/>
  <c r="D43" i="11"/>
  <c r="E43" i="11"/>
  <c r="B44" i="11"/>
  <c r="C44" i="11"/>
  <c r="D44" i="11"/>
  <c r="D45" i="11" s="1"/>
  <c r="E44" i="11"/>
  <c r="Y26" i="11"/>
  <c r="H55" i="12" l="1"/>
  <c r="H54" i="12"/>
  <c r="F54" i="12"/>
  <c r="F55" i="12"/>
  <c r="K43" i="11"/>
  <c r="K42" i="11"/>
  <c r="I41" i="11"/>
  <c r="H43" i="11"/>
  <c r="H41" i="11"/>
  <c r="H42" i="11"/>
  <c r="H44" i="11"/>
  <c r="G41" i="11"/>
  <c r="J43" i="11"/>
  <c r="J41" i="11"/>
  <c r="G44" i="11"/>
  <c r="G43" i="11"/>
  <c r="G42" i="11"/>
  <c r="I42" i="11"/>
  <c r="F42" i="11"/>
  <c r="F41" i="11"/>
  <c r="F44" i="11"/>
  <c r="F43" i="11"/>
  <c r="I43" i="11"/>
  <c r="J44" i="11"/>
  <c r="J48" i="11" s="1"/>
  <c r="J42" i="11"/>
  <c r="K44" i="11"/>
  <c r="K47" i="11" s="1"/>
  <c r="I44" i="11"/>
  <c r="K41" i="11"/>
  <c r="C45" i="11"/>
  <c r="E45" i="11"/>
  <c r="B45" i="11"/>
  <c r="I48" i="11" l="1"/>
  <c r="H45" i="11"/>
  <c r="K48" i="11"/>
  <c r="F45" i="11"/>
  <c r="G45" i="11"/>
  <c r="J45" i="11"/>
  <c r="J47" i="11"/>
  <c r="I45" i="11"/>
  <c r="I47" i="11"/>
  <c r="K45" i="11"/>
  <c r="C32" i="9" l="1"/>
  <c r="C33" i="9"/>
  <c r="C34" i="9"/>
  <c r="C28" i="9"/>
  <c r="G28" i="9" s="1"/>
  <c r="C29" i="9"/>
  <c r="C30" i="9"/>
  <c r="G30" i="9" s="1"/>
  <c r="C31" i="9"/>
  <c r="H29" i="9" l="1"/>
  <c r="G32" i="9"/>
  <c r="I34" i="9"/>
  <c r="H31" i="9"/>
  <c r="I30" i="9"/>
  <c r="G29" i="9"/>
  <c r="G33" i="9"/>
  <c r="H34" i="9"/>
  <c r="H33" i="9"/>
  <c r="I32" i="9"/>
  <c r="G34" i="9"/>
  <c r="I33" i="9"/>
  <c r="H32" i="9"/>
  <c r="G31" i="9"/>
  <c r="I28" i="9"/>
  <c r="H30" i="9"/>
  <c r="H28" i="9"/>
  <c r="I31" i="9"/>
  <c r="I29" i="9"/>
  <c r="E11" i="10"/>
  <c r="E7" i="10"/>
  <c r="E4" i="10"/>
  <c r="B40" i="10"/>
  <c r="E5" i="10" l="1"/>
  <c r="B38" i="10"/>
  <c r="B42" i="10"/>
  <c r="E9" i="10"/>
  <c r="B39" i="10"/>
  <c r="E8" i="10"/>
  <c r="E6" i="10"/>
  <c r="E10" i="10"/>
  <c r="F7" i="10" l="1"/>
  <c r="H7" i="10"/>
  <c r="H11" i="10"/>
  <c r="H6" i="10"/>
  <c r="H10" i="10"/>
  <c r="F40" i="10"/>
  <c r="H8" i="10"/>
  <c r="H5" i="10"/>
  <c r="H9" i="10"/>
  <c r="H4" i="10"/>
  <c r="F10" i="10"/>
  <c r="G10" i="10" s="1"/>
  <c r="F9" i="10"/>
  <c r="G9" i="10" s="1"/>
  <c r="F6" i="10"/>
  <c r="G6" i="10" s="1"/>
  <c r="F8" i="10"/>
  <c r="G8" i="10" s="1"/>
  <c r="F5" i="10"/>
  <c r="G5" i="10" s="1"/>
  <c r="F11" i="10"/>
  <c r="G11" i="10" s="1"/>
  <c r="G7" i="10"/>
  <c r="I10" i="10"/>
  <c r="F39" i="10"/>
  <c r="I6" i="10"/>
  <c r="I8" i="10"/>
  <c r="I11" i="10"/>
  <c r="I7" i="10"/>
  <c r="J7" i="10" s="1"/>
  <c r="I4" i="10"/>
  <c r="I9" i="10"/>
  <c r="I5" i="10"/>
  <c r="B41" i="10"/>
  <c r="J6" i="10" l="1"/>
  <c r="J10" i="10"/>
  <c r="F41" i="10"/>
  <c r="J5" i="10"/>
  <c r="J9" i="10"/>
  <c r="J8" i="10"/>
  <c r="J13" i="10" l="1"/>
  <c r="E27" i="7"/>
  <c r="E28" i="7"/>
  <c r="E29" i="7"/>
  <c r="E16" i="7" l="1"/>
  <c r="E17" i="7"/>
  <c r="E18" i="7"/>
  <c r="E19" i="7"/>
  <c r="E20" i="7"/>
  <c r="E21" i="7"/>
  <c r="E22" i="7"/>
  <c r="E23" i="7"/>
  <c r="E24" i="7"/>
  <c r="E25" i="7"/>
  <c r="E26" i="7"/>
  <c r="E15" i="7"/>
  <c r="B15" i="7"/>
  <c r="B14" i="7"/>
  <c r="B19" i="7"/>
  <c r="B17" i="7"/>
  <c r="B16" i="7"/>
  <c r="B13" i="7"/>
  <c r="F29" i="7" l="1"/>
  <c r="F27" i="7"/>
  <c r="F28" i="7"/>
  <c r="B18" i="7"/>
  <c r="B20" i="7"/>
  <c r="B21" i="7"/>
  <c r="F21" i="7"/>
  <c r="F15" i="7"/>
  <c r="F23" i="7"/>
  <c r="F19" i="7"/>
  <c r="F26" i="7"/>
  <c r="F18" i="7"/>
  <c r="F22" i="7"/>
  <c r="F25" i="7"/>
  <c r="F17" i="7"/>
  <c r="F24" i="7"/>
  <c r="F20" i="7"/>
  <c r="F16" i="7"/>
  <c r="H20" i="7" l="1"/>
  <c r="H28" i="7"/>
  <c r="H21" i="7"/>
  <c r="H29" i="7"/>
  <c r="H22" i="7"/>
  <c r="H14" i="7"/>
  <c r="H15" i="7"/>
  <c r="H23" i="7"/>
  <c r="H18" i="7"/>
  <c r="H26" i="7"/>
  <c r="H16" i="7"/>
  <c r="H17" i="7"/>
  <c r="H25" i="7"/>
  <c r="H19" i="7"/>
  <c r="H27" i="7"/>
  <c r="H24" i="7"/>
  <c r="I28" i="7"/>
  <c r="I29" i="7"/>
  <c r="I27" i="7"/>
  <c r="G27" i="7"/>
  <c r="G28" i="7"/>
  <c r="G29" i="7"/>
  <c r="B27" i="7"/>
  <c r="B31" i="7"/>
  <c r="B28" i="7"/>
  <c r="B24" i="7"/>
  <c r="B25" i="7"/>
  <c r="B29" i="7"/>
  <c r="B26" i="7"/>
  <c r="B30" i="7"/>
  <c r="I14" i="7"/>
  <c r="I22" i="7"/>
  <c r="I15" i="7"/>
  <c r="I25" i="7"/>
  <c r="G20" i="7"/>
  <c r="G26" i="7"/>
  <c r="I18" i="7"/>
  <c r="G24" i="7"/>
  <c r="G22" i="7"/>
  <c r="G19" i="7"/>
  <c r="G21" i="7"/>
  <c r="I21" i="7"/>
  <c r="I24" i="7"/>
  <c r="G15" i="7"/>
  <c r="G23" i="7"/>
  <c r="I20" i="7"/>
  <c r="I23" i="7"/>
  <c r="I26" i="7"/>
  <c r="G25" i="7"/>
  <c r="I17" i="7"/>
  <c r="G16" i="7"/>
  <c r="G17" i="7"/>
  <c r="G18" i="7"/>
  <c r="I16" i="7"/>
  <c r="I19" i="7"/>
  <c r="D19" i="8"/>
  <c r="E5" i="8" s="1"/>
  <c r="F5" i="8" s="1"/>
  <c r="J29" i="7" l="1"/>
  <c r="K29" i="7" s="1"/>
  <c r="J27" i="7"/>
  <c r="K27" i="7" s="1"/>
  <c r="J15" i="7"/>
  <c r="K15" i="7" s="1"/>
  <c r="J28" i="7"/>
  <c r="K28" i="7" s="1"/>
  <c r="J23" i="7"/>
  <c r="K23" i="7" s="1"/>
  <c r="J16" i="7"/>
  <c r="K16" i="7" s="1"/>
  <c r="J20" i="7"/>
  <c r="K20" i="7" s="1"/>
  <c r="J19" i="7"/>
  <c r="K19" i="7" s="1"/>
  <c r="J26" i="7"/>
  <c r="K26" i="7" s="1"/>
  <c r="J17" i="7"/>
  <c r="K17" i="7" s="1"/>
  <c r="J24" i="7"/>
  <c r="K24" i="7" s="1"/>
  <c r="J18" i="7"/>
  <c r="K18" i="7" s="1"/>
  <c r="J25" i="7"/>
  <c r="K25" i="7" s="1"/>
  <c r="J21" i="7"/>
  <c r="K21" i="7" s="1"/>
  <c r="J22" i="7"/>
  <c r="K22" i="7" s="1"/>
  <c r="E16" i="8"/>
  <c r="F16" i="8" s="1"/>
  <c r="E12" i="8"/>
  <c r="F12" i="8" s="1"/>
  <c r="E8" i="8"/>
  <c r="F8" i="8" s="1"/>
  <c r="E15" i="8"/>
  <c r="F15" i="8" s="1"/>
  <c r="E11" i="8"/>
  <c r="F11" i="8" s="1"/>
  <c r="E7" i="8"/>
  <c r="F7" i="8" s="1"/>
  <c r="E4" i="8"/>
  <c r="E14" i="8"/>
  <c r="F14" i="8" s="1"/>
  <c r="E10" i="8"/>
  <c r="F10" i="8" s="1"/>
  <c r="E6" i="8"/>
  <c r="F6" i="8" s="1"/>
  <c r="E17" i="8"/>
  <c r="F17" i="8" s="1"/>
  <c r="E13" i="8"/>
  <c r="F13" i="8" s="1"/>
  <c r="E9" i="8"/>
  <c r="F9" i="8" s="1"/>
  <c r="K31" i="7" l="1"/>
  <c r="F4" i="8"/>
  <c r="D20" i="8"/>
  <c r="H6" i="8" l="1"/>
  <c r="H10" i="8"/>
  <c r="H14" i="8"/>
  <c r="H4" i="8"/>
  <c r="G7" i="8"/>
  <c r="G11" i="8"/>
  <c r="G15" i="8"/>
  <c r="H20" i="8"/>
  <c r="H7" i="8"/>
  <c r="H11" i="8"/>
  <c r="H15" i="8"/>
  <c r="H8" i="8"/>
  <c r="H12" i="8"/>
  <c r="H16" i="8"/>
  <c r="G5" i="8"/>
  <c r="G9" i="8"/>
  <c r="G13" i="8"/>
  <c r="G17" i="8"/>
  <c r="H5" i="8"/>
  <c r="H9" i="8"/>
  <c r="H13" i="8"/>
  <c r="H17" i="8"/>
  <c r="G6" i="8"/>
  <c r="G10" i="8"/>
  <c r="G14" i="8"/>
  <c r="G4" i="8"/>
  <c r="G8" i="8"/>
  <c r="G12" i="8"/>
  <c r="G16" i="8"/>
  <c r="H22" i="8" l="1"/>
  <c r="H23" i="8"/>
  <c r="I5" i="8"/>
  <c r="I16" i="8"/>
  <c r="I11" i="8"/>
  <c r="I14" i="8"/>
  <c r="I13" i="8"/>
  <c r="I17" i="8"/>
  <c r="I12" i="8"/>
  <c r="I7" i="8"/>
  <c r="I10" i="8"/>
  <c r="I9" i="8"/>
  <c r="I4" i="8"/>
  <c r="I8" i="8"/>
  <c r="I6" i="8"/>
  <c r="I15" i="8"/>
  <c r="D21" i="8"/>
  <c r="D22" i="8" s="1"/>
  <c r="H21" i="8" s="1"/>
  <c r="D23" i="8" l="1"/>
  <c r="C5" i="9"/>
  <c r="C27" i="9"/>
  <c r="C26" i="9"/>
  <c r="C19" i="9"/>
  <c r="C13" i="9"/>
  <c r="C25" i="9"/>
  <c r="C24" i="9"/>
  <c r="C18" i="9"/>
  <c r="C23" i="9"/>
  <c r="C17" i="9"/>
  <c r="C16" i="9"/>
  <c r="C12" i="9"/>
  <c r="C10" i="9"/>
  <c r="C22" i="9"/>
  <c r="C21" i="9"/>
  <c r="C20" i="9"/>
  <c r="C15" i="9"/>
  <c r="C14" i="9"/>
  <c r="C11" i="9"/>
  <c r="C9" i="9"/>
  <c r="C8" i="9"/>
  <c r="C7" i="9"/>
  <c r="C6" i="9"/>
  <c r="E36" i="9" l="1"/>
  <c r="D36" i="9"/>
  <c r="F36" i="9"/>
  <c r="H20" i="9"/>
  <c r="I20" i="9"/>
  <c r="G20" i="9"/>
  <c r="G22" i="9"/>
  <c r="H22" i="9"/>
  <c r="I22" i="9"/>
  <c r="H16" i="9"/>
  <c r="I16" i="9"/>
  <c r="G16" i="9"/>
  <c r="H13" i="9"/>
  <c r="I13" i="9"/>
  <c r="G13" i="9"/>
  <c r="H27" i="9"/>
  <c r="I27" i="9"/>
  <c r="G27" i="9"/>
  <c r="I6" i="9"/>
  <c r="G6" i="9"/>
  <c r="H6" i="9"/>
  <c r="G11" i="9"/>
  <c r="H11" i="9"/>
  <c r="I11" i="9"/>
  <c r="I21" i="9"/>
  <c r="G21" i="9"/>
  <c r="H21" i="9"/>
  <c r="G18" i="9"/>
  <c r="H18" i="9"/>
  <c r="I18" i="9"/>
  <c r="G19" i="9"/>
  <c r="H19" i="9"/>
  <c r="I19" i="9"/>
  <c r="G8" i="9"/>
  <c r="H8" i="9"/>
  <c r="I8" i="9"/>
  <c r="G15" i="9"/>
  <c r="H15" i="9"/>
  <c r="I15" i="9"/>
  <c r="G12" i="9"/>
  <c r="H12" i="9"/>
  <c r="I12" i="9"/>
  <c r="H23" i="9"/>
  <c r="I23" i="9"/>
  <c r="G23" i="9"/>
  <c r="H25" i="9"/>
  <c r="G25" i="9"/>
  <c r="I25" i="9"/>
  <c r="H9" i="9"/>
  <c r="I9" i="9"/>
  <c r="G9" i="9"/>
  <c r="G7" i="9"/>
  <c r="H7" i="9"/>
  <c r="I7" i="9"/>
  <c r="I14" i="9"/>
  <c r="G14" i="9"/>
  <c r="H14" i="9"/>
  <c r="I10" i="9"/>
  <c r="G10" i="9"/>
  <c r="H10" i="9"/>
  <c r="I17" i="9"/>
  <c r="G17" i="9"/>
  <c r="H17" i="9"/>
  <c r="I24" i="9"/>
  <c r="G24" i="9"/>
  <c r="H24" i="9"/>
  <c r="G26" i="9"/>
  <c r="H26" i="9"/>
  <c r="I26" i="9"/>
  <c r="H5" i="9"/>
  <c r="I5" i="9"/>
  <c r="G5" i="9"/>
  <c r="I52" i="9" l="1"/>
  <c r="I55" i="9"/>
  <c r="I63" i="9"/>
  <c r="I53" i="9"/>
  <c r="I51" i="9"/>
  <c r="I65" i="9"/>
  <c r="I58" i="9"/>
  <c r="I40" i="9"/>
  <c r="I61" i="9"/>
  <c r="I56" i="9"/>
  <c r="I41" i="9"/>
  <c r="I57" i="9"/>
  <c r="I39" i="9"/>
  <c r="I64" i="9"/>
  <c r="I59" i="9"/>
  <c r="I54" i="9"/>
  <c r="I62" i="9"/>
  <c r="I38" i="9"/>
  <c r="I42" i="9"/>
  <c r="I43" i="9" s="1"/>
  <c r="I60" i="9"/>
  <c r="G65" i="9"/>
  <c r="G53" i="9"/>
  <c r="G61" i="9"/>
  <c r="G41" i="9"/>
  <c r="G59" i="9"/>
  <c r="G56" i="9"/>
  <c r="G40" i="9"/>
  <c r="G39" i="9"/>
  <c r="G64" i="9"/>
  <c r="G54" i="9"/>
  <c r="G62" i="9"/>
  <c r="G51" i="9"/>
  <c r="G38" i="9"/>
  <c r="G57" i="9"/>
  <c r="G42" i="9"/>
  <c r="G52" i="9"/>
  <c r="G60" i="9"/>
  <c r="G63" i="9"/>
  <c r="G58" i="9"/>
  <c r="G55" i="9"/>
  <c r="H55" i="9"/>
  <c r="H63" i="9"/>
  <c r="H65" i="9"/>
  <c r="H58" i="9"/>
  <c r="H40" i="9"/>
  <c r="H56" i="9"/>
  <c r="H53" i="9"/>
  <c r="H61" i="9"/>
  <c r="H51" i="9"/>
  <c r="H41" i="9"/>
  <c r="H64" i="9"/>
  <c r="H59" i="9"/>
  <c r="H54" i="9"/>
  <c r="H62" i="9"/>
  <c r="H38" i="9"/>
  <c r="H42" i="9"/>
  <c r="H43" i="9" s="1"/>
  <c r="H60" i="9"/>
  <c r="H57" i="9"/>
  <c r="H52" i="9"/>
  <c r="H39" i="9"/>
  <c r="B31" i="2"/>
  <c r="B28" i="2"/>
  <c r="E10" i="2"/>
  <c r="F10" i="2" s="1"/>
  <c r="G10" i="2" s="1"/>
  <c r="B3" i="2"/>
  <c r="B29" i="2"/>
  <c r="G45" i="9" l="1"/>
  <c r="G44" i="9"/>
  <c r="G43" i="9"/>
  <c r="I45" i="9"/>
  <c r="I44" i="9"/>
  <c r="H45" i="9"/>
  <c r="H44" i="9"/>
  <c r="E4" i="2"/>
  <c r="F4" i="2" s="1"/>
  <c r="E9" i="2"/>
  <c r="F9" i="2" s="1"/>
  <c r="E8" i="2"/>
  <c r="F8" i="2" s="1"/>
  <c r="E7" i="2"/>
  <c r="F7" i="2" s="1"/>
  <c r="E6" i="2"/>
  <c r="F6" i="2" s="1"/>
  <c r="E5" i="2"/>
  <c r="F5" i="2" s="1"/>
  <c r="E3" i="2"/>
  <c r="B25" i="2"/>
  <c r="B26" i="2"/>
  <c r="B27" i="2"/>
  <c r="N7" i="2" l="1"/>
  <c r="N8" i="2"/>
  <c r="N9" i="2"/>
  <c r="N5" i="2"/>
  <c r="N4" i="2"/>
  <c r="N6" i="2"/>
  <c r="G9" i="2"/>
  <c r="G5" i="2"/>
  <c r="G6" i="2"/>
  <c r="G4" i="2"/>
  <c r="G8" i="2"/>
  <c r="B32" i="2"/>
  <c r="I4" i="2"/>
  <c r="I8" i="2"/>
  <c r="H6" i="2"/>
  <c r="H10" i="2"/>
  <c r="I6" i="2"/>
  <c r="I10" i="2"/>
  <c r="H4" i="2"/>
  <c r="H8" i="2"/>
  <c r="H5" i="2"/>
  <c r="I5" i="2"/>
  <c r="I9" i="2"/>
  <c r="H7" i="2"/>
  <c r="H3" i="2"/>
  <c r="I7" i="2"/>
  <c r="I3" i="2"/>
  <c r="H9" i="2"/>
  <c r="G7" i="2"/>
  <c r="E11" i="2"/>
  <c r="F3" i="2"/>
  <c r="G3" i="2" s="1"/>
  <c r="B30" i="2"/>
  <c r="J4" i="2" l="1"/>
  <c r="K4" i="2" s="1"/>
  <c r="N11" i="2"/>
  <c r="J6" i="2"/>
  <c r="K6" i="2" s="1"/>
  <c r="J9" i="2"/>
  <c r="K9" i="2" s="1"/>
  <c r="J7" i="2"/>
  <c r="K7" i="2" s="1"/>
  <c r="J5" i="2"/>
  <c r="K5" i="2" s="1"/>
  <c r="J8" i="2"/>
  <c r="K8" i="2" s="1"/>
  <c r="O9" i="2" l="1"/>
  <c r="O6" i="2"/>
  <c r="O7" i="2"/>
  <c r="O5" i="2"/>
  <c r="O4" i="2"/>
  <c r="O8" i="2"/>
  <c r="K11" i="2"/>
  <c r="J11" i="2"/>
  <c r="O11" i="2" l="1"/>
  <c r="K6" i="10"/>
</calcChain>
</file>

<file path=xl/sharedStrings.xml><?xml version="1.0" encoding="utf-8"?>
<sst xmlns="http://schemas.openxmlformats.org/spreadsheetml/2006/main" count="275" uniqueCount="180">
  <si>
    <t>Зразок</t>
  </si>
  <si>
    <t>Міцність</t>
  </si>
  <si>
    <t>N=</t>
  </si>
  <si>
    <t>Min</t>
  </si>
  <si>
    <t>Max</t>
  </si>
  <si>
    <t>M=</t>
  </si>
  <si>
    <t>Середнє</t>
  </si>
  <si>
    <t>S=</t>
  </si>
  <si>
    <t>Стандарт</t>
  </si>
  <si>
    <t>V=</t>
  </si>
  <si>
    <t>Коефіцієнт варіації</t>
  </si>
  <si>
    <t>B, D=</t>
  </si>
  <si>
    <t>Клас за міцністю</t>
  </si>
  <si>
    <t>А=</t>
  </si>
  <si>
    <t>Перевірка по Пірсону</t>
  </si>
  <si>
    <t>Характеристики по гістограмі</t>
  </si>
  <si>
    <t>Alfa</t>
  </si>
  <si>
    <t>Beta</t>
  </si>
  <si>
    <t>Цільова</t>
  </si>
  <si>
    <t>Інтервал швидкості вітру м/с</t>
  </si>
  <si>
    <t>початок</t>
  </si>
  <si>
    <t>кінкць</t>
  </si>
  <si>
    <t>Сj</t>
  </si>
  <si>
    <t>Nj</t>
  </si>
  <si>
    <t>A=</t>
  </si>
  <si>
    <t>Pj</t>
  </si>
  <si>
    <t>(Сj-M)^2</t>
  </si>
  <si>
    <t>(Сj-M)^3</t>
  </si>
  <si>
    <t>f(Cj)</t>
  </si>
  <si>
    <t>fj</t>
  </si>
  <si>
    <t>Тривалість v&gt;10 м/с</t>
  </si>
  <si>
    <t>Тривалість v&gt;15 м/с</t>
  </si>
  <si>
    <t>Гістограма розподілу</t>
  </si>
  <si>
    <t>Теорет.</t>
  </si>
  <si>
    <t>АНАЛІЗ ШВИДКОСТІ ВІТРУ в Кропивницькому</t>
  </si>
  <si>
    <t>1950-1960</t>
  </si>
  <si>
    <t>1960-1970</t>
  </si>
  <si>
    <t>1970-1980</t>
  </si>
  <si>
    <t>1980-1990</t>
  </si>
  <si>
    <t>1990-2000</t>
  </si>
  <si>
    <t>2000-2010</t>
  </si>
  <si>
    <t>2010-2017</t>
  </si>
  <si>
    <t>Роки</t>
  </si>
  <si>
    <t>ДОСЛІДЖЕННЯ ВАГИ СНІГОВОГО ПОКРИВУ в Кропивницькому</t>
  </si>
  <si>
    <t>Річні максимуми ваги снігового покриву в Па</t>
  </si>
  <si>
    <t>Характеристики</t>
  </si>
  <si>
    <t>Cj</t>
  </si>
  <si>
    <t>f</t>
  </si>
  <si>
    <t>Ft</t>
  </si>
  <si>
    <t>Pt</t>
  </si>
  <si>
    <t>Хі-квадр</t>
  </si>
  <si>
    <t>Розподіл Гумбеля</t>
  </si>
  <si>
    <t>Хі-квадрат=</t>
  </si>
  <si>
    <t>T</t>
  </si>
  <si>
    <t>ТЕПЛОПРОВІДНІСТЬ ЛЕГКИХ БЕТОНІВ</t>
  </si>
  <si>
    <t>теорет</t>
  </si>
  <si>
    <t>Теплопровідності в умовах</t>
  </si>
  <si>
    <t>С</t>
  </si>
  <si>
    <t>Н</t>
  </si>
  <si>
    <t>В</t>
  </si>
  <si>
    <t>Відносні похибки, %</t>
  </si>
  <si>
    <t>R=</t>
  </si>
  <si>
    <t>Густина кг/м3</t>
  </si>
  <si>
    <t>ft</t>
  </si>
  <si>
    <t>Hi</t>
  </si>
  <si>
    <t>Інтерв</t>
  </si>
  <si>
    <t>Значим</t>
  </si>
  <si>
    <t>ГУСТИНА ПІНОПОЛІСТИРОЛУ</t>
  </si>
  <si>
    <t>Функція розподілу для значень густини:</t>
  </si>
  <si>
    <t>Відповідність ДСТУ</t>
  </si>
  <si>
    <t>Ніздрюваті бетони</t>
  </si>
  <si>
    <t>Керамзитобетони</t>
  </si>
  <si>
    <t>Вид бетону</t>
  </si>
  <si>
    <t>Шлакобетони</t>
  </si>
  <si>
    <t>Гістограми розподілу</t>
  </si>
  <si>
    <t>Q(T)</t>
  </si>
  <si>
    <t>Числові характеристики</t>
  </si>
  <si>
    <t>Dmin</t>
  </si>
  <si>
    <t>Dmax</t>
  </si>
  <si>
    <t>Умови експлуатації</t>
  </si>
  <si>
    <t>В=</t>
  </si>
  <si>
    <t>Підібрані параметри</t>
  </si>
  <si>
    <t>Прийняті параметри</t>
  </si>
  <si>
    <t>Коефіцієнти кореляції</t>
  </si>
  <si>
    <t>Довірчі межі відхилень</t>
  </si>
  <si>
    <t>Марка за густиною</t>
  </si>
  <si>
    <t>РОЗРАХУНКОВИЙ ОПІР НІЗДРЮВАТИХ БЕТОНІВ</t>
  </si>
  <si>
    <t>мінімальні</t>
  </si>
  <si>
    <t>максимальні</t>
  </si>
  <si>
    <t>Опір при стиску</t>
  </si>
  <si>
    <t>Зна-чення</t>
  </si>
  <si>
    <t>автоклавний</t>
  </si>
  <si>
    <t>неавтоклавний</t>
  </si>
  <si>
    <t>Поліном</t>
  </si>
  <si>
    <t>Експонента</t>
  </si>
  <si>
    <t>функція</t>
  </si>
  <si>
    <t>Δ%</t>
  </si>
  <si>
    <t>Параметри функцій</t>
  </si>
  <si>
    <t>Характеристики відхилень</t>
  </si>
  <si>
    <t>Δmin</t>
  </si>
  <si>
    <t>Δmax</t>
  </si>
  <si>
    <t>10Б1</t>
  </si>
  <si>
    <t>18Б1</t>
  </si>
  <si>
    <t>26Б1</t>
  </si>
  <si>
    <t>35Б2</t>
  </si>
  <si>
    <t>45Б1</t>
  </si>
  <si>
    <t>50Б2</t>
  </si>
  <si>
    <t>60Б1</t>
  </si>
  <si>
    <t>70Б1</t>
  </si>
  <si>
    <t>30Б2</t>
  </si>
  <si>
    <t>55Б1</t>
  </si>
  <si>
    <t>80Б1</t>
  </si>
  <si>
    <t>90Б2</t>
  </si>
  <si>
    <t>100Б2</t>
  </si>
  <si>
    <t>23Б1</t>
  </si>
  <si>
    <t>40Б2</t>
  </si>
  <si>
    <t>55Б2</t>
  </si>
  <si>
    <t>70Б2</t>
  </si>
  <si>
    <t>80Б2</t>
  </si>
  <si>
    <t>100Б1</t>
  </si>
  <si>
    <t>100Б4</t>
  </si>
  <si>
    <t>26Б2</t>
  </si>
  <si>
    <t>50Б1</t>
  </si>
  <si>
    <t>100Б3</t>
  </si>
  <si>
    <t>35Б1</t>
  </si>
  <si>
    <t>40Б1</t>
  </si>
  <si>
    <t>60Б2</t>
  </si>
  <si>
    <t>90Б1</t>
  </si>
  <si>
    <t>A</t>
  </si>
  <si>
    <t>B</t>
  </si>
  <si>
    <t>C</t>
  </si>
  <si>
    <t>ПОГОННА МАСА ПРОКАТНИХ БАЛОК</t>
  </si>
  <si>
    <t>q 
кН/м</t>
  </si>
  <si>
    <t>Профілі балок при прольотах L, м</t>
  </si>
  <si>
    <t>Відхилення у відсотках</t>
  </si>
  <si>
    <t>Погонна маса (теоретична) в кг/м</t>
  </si>
  <si>
    <t>Погонна маса (дослідна) в кг/м</t>
  </si>
  <si>
    <t>Кропивницький</t>
  </si>
  <si>
    <t>Знам'янка</t>
  </si>
  <si>
    <t>Min=</t>
  </si>
  <si>
    <t>Max=</t>
  </si>
  <si>
    <t>D=</t>
  </si>
  <si>
    <t>Однофакторный дисперсионный анализ</t>
  </si>
  <si>
    <t>ИТОГИ</t>
  </si>
  <si>
    <t>Группы</t>
  </si>
  <si>
    <t>Счет</t>
  </si>
  <si>
    <t>Сумма</t>
  </si>
  <si>
    <t>Среднее</t>
  </si>
  <si>
    <t>Дисперсия</t>
  </si>
  <si>
    <t>Столбец 1</t>
  </si>
  <si>
    <t>Столбец 2</t>
  </si>
  <si>
    <t>Дисперсионный анализ</t>
  </si>
  <si>
    <t>Источник вариации</t>
  </si>
  <si>
    <t>SS</t>
  </si>
  <si>
    <t>df</t>
  </si>
  <si>
    <t>MS</t>
  </si>
  <si>
    <t>F</t>
  </si>
  <si>
    <t>P-Значение</t>
  </si>
  <si>
    <t>F критическое</t>
  </si>
  <si>
    <t>Между группами</t>
  </si>
  <si>
    <t>Внутри групп</t>
  </si>
  <si>
    <t>Итого</t>
  </si>
  <si>
    <t>Порівняння математичних сподівань</t>
  </si>
  <si>
    <t>Z=</t>
  </si>
  <si>
    <t>Zcr=</t>
  </si>
  <si>
    <t>Alfa=</t>
  </si>
  <si>
    <t>Порівняння дисперсій</t>
  </si>
  <si>
    <t>F=</t>
  </si>
  <si>
    <t>k1=</t>
  </si>
  <si>
    <t>k2=</t>
  </si>
  <si>
    <t>Fcr=</t>
  </si>
  <si>
    <t>X</t>
  </si>
  <si>
    <t>PX</t>
  </si>
  <si>
    <r>
      <t>P(X-M)</t>
    </r>
    <r>
      <rPr>
        <b/>
        <vertAlign val="superscript"/>
        <sz val="10"/>
        <rFont val="Arial Cyr"/>
        <charset val="204"/>
      </rPr>
      <t>2</t>
    </r>
  </si>
  <si>
    <t>Побудова гістограми</t>
  </si>
  <si>
    <t>Аналіз міцності бетону</t>
  </si>
  <si>
    <t>f(x)</t>
  </si>
  <si>
    <t>Коефіцієнт асиметрії</t>
  </si>
  <si>
    <t>Апроксимація двофакторної залежності</t>
  </si>
  <si>
    <t>Вага снігового покриву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</si>
</sst>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"/>
    <numFmt numFmtId="166" formatCode="0.0000"/>
    <numFmt numFmtId="167" formatCode="0.00000"/>
    <numFmt numFmtId="168" formatCode="0.000000"/>
  </numFmts>
  <fonts count="19" x14ac:knownFonts="1">
    <font>
      <sz val="10"/>
      <color theme="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sz val="10"/>
      <name val="Arial Cyr"/>
      <charset val="204"/>
    </font>
    <font>
      <b/>
      <sz val="10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2"/>
      <color theme="1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</font>
    <font>
      <b/>
      <vertAlign val="superscript"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3" fillId="0" borderId="0" xfId="0" applyFont="1" applyAlignment="1">
      <alignment horizontal="center"/>
    </xf>
    <xf numFmtId="164" fontId="0" fillId="0" borderId="0" xfId="0" applyNumberFormat="1"/>
    <xf numFmtId="0" fontId="3" fillId="0" borderId="0" xfId="0" applyFont="1" applyAlignment="1">
      <alignment horizontal="right"/>
    </xf>
    <xf numFmtId="165" fontId="0" fillId="0" borderId="0" xfId="0" applyNumberFormat="1" applyFill="1"/>
    <xf numFmtId="166" fontId="0" fillId="0" borderId="0" xfId="0" applyNumberFormat="1"/>
    <xf numFmtId="165" fontId="4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166" fontId="0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1" fontId="0" fillId="0" borderId="0" xfId="0" applyNumberFormat="1"/>
    <xf numFmtId="0" fontId="5" fillId="0" borderId="0" xfId="0" applyFont="1" applyAlignment="1">
      <alignment horizontal="center"/>
    </xf>
    <xf numFmtId="0" fontId="6" fillId="0" borderId="0" xfId="0" applyFont="1"/>
    <xf numFmtId="167" fontId="6" fillId="0" borderId="0" xfId="0" applyNumberFormat="1" applyFont="1"/>
    <xf numFmtId="2" fontId="6" fillId="0" borderId="0" xfId="0" applyNumberFormat="1" applyFont="1"/>
    <xf numFmtId="165" fontId="6" fillId="0" borderId="0" xfId="0" applyNumberFormat="1" applyFont="1"/>
    <xf numFmtId="0" fontId="6" fillId="0" borderId="0" xfId="0" applyFont="1" applyAlignment="1">
      <alignment horizontal="right"/>
    </xf>
    <xf numFmtId="166" fontId="6" fillId="0" borderId="0" xfId="0" applyNumberFormat="1" applyFont="1"/>
    <xf numFmtId="164" fontId="6" fillId="0" borderId="0" xfId="0" applyNumberFormat="1" applyFont="1"/>
    <xf numFmtId="168" fontId="6" fillId="0" borderId="0" xfId="0" applyNumberFormat="1" applyFont="1"/>
    <xf numFmtId="0" fontId="7" fillId="0" borderId="1" xfId="0" applyFont="1" applyBorder="1" applyAlignment="1">
      <alignment horizontal="center"/>
    </xf>
    <xf numFmtId="0" fontId="8" fillId="0" borderId="0" xfId="0" applyFont="1"/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6" fillId="0" borderId="0" xfId="0" applyFont="1" applyBorder="1"/>
    <xf numFmtId="0" fontId="6" fillId="0" borderId="0" xfId="0" applyFont="1" applyBorder="1" applyAlignment="1">
      <alignment vertical="center"/>
    </xf>
    <xf numFmtId="0" fontId="8" fillId="0" borderId="0" xfId="0" applyFont="1" applyBorder="1"/>
    <xf numFmtId="0" fontId="6" fillId="0" borderId="0" xfId="0" applyFont="1" applyBorder="1" applyAlignment="1">
      <alignment horizontal="right"/>
    </xf>
    <xf numFmtId="165" fontId="6" fillId="0" borderId="0" xfId="0" applyNumberFormat="1" applyFont="1" applyBorder="1"/>
    <xf numFmtId="0" fontId="6" fillId="0" borderId="1" xfId="0" applyFont="1" applyBorder="1"/>
    <xf numFmtId="166" fontId="6" fillId="0" borderId="0" xfId="0" applyNumberFormat="1" applyFont="1" applyBorder="1"/>
    <xf numFmtId="167" fontId="6" fillId="0" borderId="0" xfId="0" applyNumberFormat="1" applyFont="1" applyBorder="1"/>
    <xf numFmtId="2" fontId="7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right"/>
    </xf>
    <xf numFmtId="1" fontId="6" fillId="0" borderId="0" xfId="0" applyNumberFormat="1" applyFont="1" applyBorder="1"/>
    <xf numFmtId="0" fontId="7" fillId="0" borderId="1" xfId="0" applyFont="1" applyBorder="1"/>
    <xf numFmtId="0" fontId="7" fillId="0" borderId="1" xfId="0" applyFont="1" applyBorder="1" applyAlignment="1">
      <alignment horizontal="right"/>
    </xf>
    <xf numFmtId="0" fontId="0" fillId="0" borderId="0" xfId="0" applyFill="1"/>
    <xf numFmtId="164" fontId="0" fillId="0" borderId="0" xfId="0" applyNumberFormat="1" applyFill="1"/>
    <xf numFmtId="2" fontId="0" fillId="0" borderId="0" xfId="0" applyNumberFormat="1" applyFill="1"/>
    <xf numFmtId="0" fontId="7" fillId="0" borderId="1" xfId="0" applyFont="1" applyBorder="1" applyAlignment="1">
      <alignment horizontal="center"/>
    </xf>
    <xf numFmtId="0" fontId="6" fillId="0" borderId="0" xfId="0" applyFont="1" applyAlignment="1"/>
    <xf numFmtId="0" fontId="10" fillId="2" borderId="1" xfId="0" applyFont="1" applyFill="1" applyBorder="1" applyAlignment="1">
      <alignment horizontal="center" vertical="center" wrapText="1"/>
    </xf>
    <xf numFmtId="165" fontId="6" fillId="0" borderId="1" xfId="0" applyNumberFormat="1" applyFont="1" applyBorder="1"/>
    <xf numFmtId="164" fontId="6" fillId="0" borderId="1" xfId="0" applyNumberFormat="1" applyFont="1" applyBorder="1"/>
    <xf numFmtId="0" fontId="7" fillId="0" borderId="0" xfId="0" applyFont="1"/>
    <xf numFmtId="0" fontId="7" fillId="0" borderId="0" xfId="0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9" fillId="0" borderId="0" xfId="0" applyNumberFormat="1" applyFont="1"/>
    <xf numFmtId="0" fontId="7" fillId="0" borderId="0" xfId="0" applyFont="1" applyAlignment="1">
      <alignment horizontal="right"/>
    </xf>
    <xf numFmtId="0" fontId="6" fillId="0" borderId="0" xfId="0" applyFont="1" applyFill="1"/>
    <xf numFmtId="2" fontId="6" fillId="0" borderId="0" xfId="0" applyNumberFormat="1" applyFont="1" applyFill="1"/>
    <xf numFmtId="1" fontId="6" fillId="0" borderId="0" xfId="0" applyNumberFormat="1" applyFont="1"/>
    <xf numFmtId="11" fontId="6" fillId="0" borderId="0" xfId="0" applyNumberFormat="1" applyFont="1"/>
    <xf numFmtId="0" fontId="11" fillId="2" borderId="1" xfId="0" applyFont="1" applyFill="1" applyBorder="1" applyAlignment="1">
      <alignment horizontal="center" vertical="center" wrapText="1"/>
    </xf>
    <xf numFmtId="0" fontId="12" fillId="0" borderId="0" xfId="0" applyFont="1"/>
    <xf numFmtId="2" fontId="10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165" fontId="7" fillId="0" borderId="0" xfId="0" applyNumberFormat="1" applyFont="1" applyBorder="1" applyAlignment="1">
      <alignment horizontal="right"/>
    </xf>
    <xf numFmtId="0" fontId="7" fillId="0" borderId="0" xfId="0" applyFont="1" applyAlignment="1">
      <alignment horizontal="left"/>
    </xf>
    <xf numFmtId="165" fontId="10" fillId="2" borderId="1" xfId="0" applyNumberFormat="1" applyFont="1" applyFill="1" applyBorder="1" applyAlignment="1">
      <alignment horizontal="center" vertical="center" wrapText="1"/>
    </xf>
    <xf numFmtId="167" fontId="6" fillId="0" borderId="1" xfId="0" applyNumberFormat="1" applyFont="1" applyBorder="1"/>
    <xf numFmtId="2" fontId="6" fillId="0" borderId="1" xfId="0" applyNumberFormat="1" applyFont="1" applyBorder="1"/>
    <xf numFmtId="0" fontId="9" fillId="0" borderId="0" xfId="0" applyFont="1"/>
    <xf numFmtId="0" fontId="2" fillId="0" borderId="0" xfId="0" applyFont="1"/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0" xfId="0" applyFont="1" applyAlignment="1">
      <alignment horizontal="right"/>
    </xf>
    <xf numFmtId="2" fontId="14" fillId="0" borderId="1" xfId="0" applyNumberFormat="1" applyFont="1" applyBorder="1" applyAlignment="1">
      <alignment horizontal="right" vertical="center" wrapText="1"/>
    </xf>
    <xf numFmtId="2" fontId="13" fillId="0" borderId="1" xfId="0" applyNumberFormat="1" applyFont="1" applyBorder="1" applyAlignment="1">
      <alignment horizontal="right" vertical="center" wrapText="1"/>
    </xf>
    <xf numFmtId="2" fontId="13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Border="1"/>
    <xf numFmtId="2" fontId="2" fillId="0" borderId="1" xfId="0" applyNumberFormat="1" applyFont="1" applyBorder="1"/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4" fontId="2" fillId="0" borderId="1" xfId="0" applyNumberFormat="1" applyFont="1" applyBorder="1"/>
    <xf numFmtId="0" fontId="9" fillId="0" borderId="1" xfId="0" applyFont="1" applyBorder="1" applyAlignment="1">
      <alignment horizontal="center"/>
    </xf>
    <xf numFmtId="164" fontId="2" fillId="0" borderId="0" xfId="0" applyNumberFormat="1" applyFont="1"/>
    <xf numFmtId="0" fontId="9" fillId="0" borderId="1" xfId="0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right" vertical="center"/>
    </xf>
    <xf numFmtId="1" fontId="1" fillId="0" borderId="1" xfId="0" applyNumberFormat="1" applyFont="1" applyBorder="1" applyAlignment="1">
      <alignment horizontal="center" vertical="center"/>
    </xf>
    <xf numFmtId="1" fontId="15" fillId="0" borderId="0" xfId="0" applyNumberFormat="1" applyFont="1" applyBorder="1" applyAlignment="1">
      <alignment horizontal="right" vertical="center"/>
    </xf>
    <xf numFmtId="1" fontId="1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Fill="1" applyBorder="1" applyAlignment="1">
      <alignment vertical="center"/>
    </xf>
    <xf numFmtId="165" fontId="1" fillId="0" borderId="0" xfId="0" applyNumberFormat="1" applyFont="1" applyFill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0" fontId="16" fillId="0" borderId="0" xfId="0" applyFont="1"/>
    <xf numFmtId="0" fontId="6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66" fontId="1" fillId="0" borderId="0" xfId="0" applyNumberFormat="1" applyFont="1" applyFill="1" applyBorder="1" applyAlignment="1">
      <alignment vertical="center"/>
    </xf>
    <xf numFmtId="0" fontId="0" fillId="0" borderId="0" xfId="0" applyAlignment="1">
      <alignment horizontal="right"/>
    </xf>
    <xf numFmtId="165" fontId="0" fillId="0" borderId="0" xfId="0" applyNumberFormat="1"/>
    <xf numFmtId="0" fontId="0" fillId="0" borderId="0" xfId="0" applyFill="1" applyBorder="1" applyAlignment="1"/>
    <xf numFmtId="0" fontId="0" fillId="0" borderId="6" xfId="0" applyFill="1" applyBorder="1" applyAlignment="1"/>
    <xf numFmtId="0" fontId="17" fillId="0" borderId="7" xfId="0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7" fillId="0" borderId="0" xfId="0" applyFont="1" applyFill="1" applyAlignment="1">
      <alignment horizontal="center" vertical="top"/>
    </xf>
    <xf numFmtId="0" fontId="7" fillId="0" borderId="0" xfId="0" applyFont="1" applyFill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textRotation="90"/>
    </xf>
    <xf numFmtId="0" fontId="6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8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9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0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1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2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3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4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5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552511921925251"/>
          <c:y val="3.2546755185013633E-2"/>
          <c:w val="0.85447488078074763"/>
          <c:h val="0.7895161340126600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2">
                <a:lumMod val="90000"/>
              </a:schemeClr>
            </a:solidFill>
            <a:ln w="12700">
              <a:solidFill>
                <a:schemeClr val="tx1"/>
              </a:solidFill>
            </a:ln>
          </c:spPr>
          <c:invertIfNegative val="0"/>
          <c:cat>
            <c:numRef>
              <c:f>Приклад_Бетон!$D$3:$D$10</c:f>
              <c:numCache>
                <c:formatCode>General</c:formatCode>
                <c:ptCount val="8"/>
                <c:pt idx="0">
                  <c:v>14</c:v>
                </c:pt>
                <c:pt idx="1">
                  <c:v>16</c:v>
                </c:pt>
                <c:pt idx="2">
                  <c:v>18</c:v>
                </c:pt>
                <c:pt idx="3">
                  <c:v>20</c:v>
                </c:pt>
                <c:pt idx="4">
                  <c:v>22</c:v>
                </c:pt>
                <c:pt idx="5">
                  <c:v>24</c:v>
                </c:pt>
                <c:pt idx="6">
                  <c:v>26</c:v>
                </c:pt>
                <c:pt idx="7">
                  <c:v>28</c:v>
                </c:pt>
              </c:numCache>
            </c:numRef>
          </c:cat>
          <c:val>
            <c:numRef>
              <c:f>Приклад_Бетон!$G$3:$G$10</c:f>
              <c:numCache>
                <c:formatCode>0.000</c:formatCode>
                <c:ptCount val="8"/>
                <c:pt idx="0">
                  <c:v>0</c:v>
                </c:pt>
                <c:pt idx="1">
                  <c:v>2.5000000000000001E-2</c:v>
                </c:pt>
                <c:pt idx="2">
                  <c:v>0.1</c:v>
                </c:pt>
                <c:pt idx="3">
                  <c:v>0.17499999999999999</c:v>
                </c:pt>
                <c:pt idx="4">
                  <c:v>0.125</c:v>
                </c:pt>
                <c:pt idx="5">
                  <c:v>0.05</c:v>
                </c:pt>
                <c:pt idx="6">
                  <c:v>2.5000000000000001E-2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4B-4AE7-9032-E2EF0B9564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238170616"/>
        <c:axId val="238172184"/>
      </c:barChart>
      <c:scatterChart>
        <c:scatterStyle val="smoothMarker"/>
        <c:varyColors val="0"/>
        <c:ser>
          <c:idx val="1"/>
          <c:order val="1"/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yVal>
            <c:numRef>
              <c:f>Приклад_Бетон!$H$3:$H$10</c:f>
              <c:numCache>
                <c:formatCode>0.0000</c:formatCode>
                <c:ptCount val="8"/>
                <c:pt idx="0">
                  <c:v>2.6688718546312219E-3</c:v>
                </c:pt>
                <c:pt idx="1">
                  <c:v>2.3072485139866351E-2</c:v>
                </c:pt>
                <c:pt idx="2">
                  <c:v>9.2092162591738372E-2</c:v>
                </c:pt>
                <c:pt idx="3">
                  <c:v>0.16971202349992567</c:v>
                </c:pt>
                <c:pt idx="4">
                  <c:v>0.14439900315018886</c:v>
                </c:pt>
                <c:pt idx="5">
                  <c:v>5.672538106176598E-2</c:v>
                </c:pt>
                <c:pt idx="6">
                  <c:v>1.0288505458266853E-2</c:v>
                </c:pt>
                <c:pt idx="7">
                  <c:v>8.6156650386563435E-4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E4B-4AE7-9032-E2EF0B9564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8170616"/>
        <c:axId val="238172184"/>
      </c:scatterChart>
      <c:catAx>
        <c:axId val="2381706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50"/>
                </a:pPr>
                <a:r>
                  <a:rPr lang="uk-UA" sz="1050"/>
                  <a:t>Межі інтервалів</a:t>
                </a:r>
              </a:p>
            </c:rich>
          </c:tx>
          <c:layout>
            <c:manualLayout>
              <c:xMode val="edge"/>
              <c:yMode val="edge"/>
              <c:x val="0.73083208840817016"/>
              <c:y val="0.9204965261695229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238172184"/>
        <c:crosses val="autoZero"/>
        <c:auto val="1"/>
        <c:lblAlgn val="ctr"/>
        <c:lblOffset val="100"/>
        <c:noMultiLvlLbl val="0"/>
      </c:catAx>
      <c:valAx>
        <c:axId val="23817218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50"/>
                </a:pPr>
                <a:r>
                  <a:rPr lang="uk-UA" sz="1050"/>
                  <a:t>Густина розподілу</a:t>
                </a:r>
              </a:p>
            </c:rich>
          </c:tx>
          <c:layout>
            <c:manualLayout>
              <c:xMode val="edge"/>
              <c:yMode val="edge"/>
              <c:x val="0"/>
              <c:y val="4.7370078740157494E-2"/>
            </c:manualLayout>
          </c:layout>
          <c:overlay val="0"/>
        </c:title>
        <c:numFmt formatCode="0.00" sourceLinked="0"/>
        <c:majorTickMark val="out"/>
        <c:minorTickMark val="none"/>
        <c:tickLblPos val="nextTo"/>
        <c:crossAx val="23817061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52849002849003"/>
          <c:y val="3.1659313725490197E-2"/>
          <c:w val="0.83240420227920231"/>
          <c:h val="0.86431454248366013"/>
        </c:manualLayout>
      </c:layout>
      <c:scatterChart>
        <c:scatterStyle val="smoothMarker"/>
        <c:varyColors val="0"/>
        <c:ser>
          <c:idx val="0"/>
          <c:order val="0"/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/>
              </a:solidFill>
              <a:ln w="19050">
                <a:solidFill>
                  <a:schemeClr val="tx1"/>
                </a:solidFill>
              </a:ln>
              <a:effectLst/>
            </c:spPr>
          </c:marker>
          <c:trendline>
            <c:spPr>
              <a:ln w="25400" cap="rnd">
                <a:solidFill>
                  <a:schemeClr val="tx1"/>
                </a:solidFill>
                <a:prstDash val="sysDot"/>
              </a:ln>
              <a:effectLst/>
            </c:spPr>
            <c:trendlineType val="poly"/>
            <c:order val="2"/>
            <c:intercept val="0"/>
            <c:dispRSqr val="0"/>
            <c:dispEq val="1"/>
            <c:trendlineLbl>
              <c:layout>
                <c:manualLayout>
                  <c:x val="1.0052350427350427E-2"/>
                  <c:y val="0.27433946078431365"/>
                </c:manualLayout>
              </c:layout>
              <c:numFmt formatCode="General" sourceLinked="0"/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uk-UA"/>
                </a:p>
              </c:txPr>
            </c:trendlineLbl>
          </c:trendline>
          <c:xVal>
            <c:numRef>
              <c:f>'6.6'!$B$16:$I$16</c:f>
              <c:numCache>
                <c:formatCode>General</c:formatCode>
                <c:ptCount val="8"/>
                <c:pt idx="0">
                  <c:v>3</c:v>
                </c:pt>
                <c:pt idx="1">
                  <c:v>6</c:v>
                </c:pt>
                <c:pt idx="2">
                  <c:v>9</c:v>
                </c:pt>
                <c:pt idx="3">
                  <c:v>12</c:v>
                </c:pt>
                <c:pt idx="4">
                  <c:v>15</c:v>
                </c:pt>
                <c:pt idx="5">
                  <c:v>18</c:v>
                </c:pt>
                <c:pt idx="6">
                  <c:v>21</c:v>
                </c:pt>
                <c:pt idx="7">
                  <c:v>24</c:v>
                </c:pt>
              </c:numCache>
            </c:numRef>
          </c:xVal>
          <c:yVal>
            <c:numRef>
              <c:f>'6.6'!$B$17:$I$17</c:f>
              <c:numCache>
                <c:formatCode>0.0</c:formatCode>
                <c:ptCount val="8"/>
                <c:pt idx="0">
                  <c:v>8.1</c:v>
                </c:pt>
                <c:pt idx="1">
                  <c:v>15.4</c:v>
                </c:pt>
                <c:pt idx="2">
                  <c:v>28</c:v>
                </c:pt>
                <c:pt idx="3">
                  <c:v>43.3</c:v>
                </c:pt>
                <c:pt idx="4">
                  <c:v>59.8</c:v>
                </c:pt>
                <c:pt idx="5">
                  <c:v>80.7</c:v>
                </c:pt>
                <c:pt idx="6">
                  <c:v>106.2</c:v>
                </c:pt>
                <c:pt idx="7">
                  <c:v>129.30000000000001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5CC-4BC8-9A60-27377E15B412}"/>
            </c:ext>
          </c:extLst>
        </c:ser>
        <c:ser>
          <c:idx val="1"/>
          <c:order val="1"/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/>
              </a:solidFill>
              <a:ln w="19050">
                <a:solidFill>
                  <a:schemeClr val="tx1"/>
                </a:solidFill>
              </a:ln>
              <a:effectLst/>
            </c:spPr>
          </c:marker>
          <c:trendline>
            <c:spPr>
              <a:ln w="25400" cap="rnd">
                <a:solidFill>
                  <a:schemeClr val="tx1"/>
                </a:solidFill>
                <a:prstDash val="sysDot"/>
              </a:ln>
              <a:effectLst/>
            </c:spPr>
            <c:trendlineType val="poly"/>
            <c:order val="2"/>
            <c:intercept val="0"/>
            <c:dispRSqr val="0"/>
            <c:dispEq val="1"/>
            <c:trendlineLbl>
              <c:layout>
                <c:manualLayout>
                  <c:x val="1.457514245014245E-2"/>
                  <c:y val="0.28480310457516339"/>
                </c:manualLayout>
              </c:layout>
              <c:numFmt formatCode="General" sourceLinked="0"/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uk-UA"/>
                </a:p>
              </c:txPr>
            </c:trendlineLbl>
          </c:trendline>
          <c:xVal>
            <c:numRef>
              <c:f>'6.6'!$B$16:$I$16</c:f>
              <c:numCache>
                <c:formatCode>General</c:formatCode>
                <c:ptCount val="8"/>
                <c:pt idx="0">
                  <c:v>3</c:v>
                </c:pt>
                <c:pt idx="1">
                  <c:v>6</c:v>
                </c:pt>
                <c:pt idx="2">
                  <c:v>9</c:v>
                </c:pt>
                <c:pt idx="3">
                  <c:v>12</c:v>
                </c:pt>
                <c:pt idx="4">
                  <c:v>15</c:v>
                </c:pt>
                <c:pt idx="5">
                  <c:v>18</c:v>
                </c:pt>
                <c:pt idx="6">
                  <c:v>21</c:v>
                </c:pt>
                <c:pt idx="7">
                  <c:v>24</c:v>
                </c:pt>
              </c:numCache>
            </c:numRef>
          </c:xVal>
          <c:yVal>
            <c:numRef>
              <c:f>'6.6'!$B$19:$I$19</c:f>
              <c:numCache>
                <c:formatCode>0.0</c:formatCode>
                <c:ptCount val="8"/>
                <c:pt idx="0">
                  <c:v>25.8</c:v>
                </c:pt>
                <c:pt idx="1">
                  <c:v>54.7</c:v>
                </c:pt>
                <c:pt idx="2">
                  <c:v>97.9</c:v>
                </c:pt>
                <c:pt idx="3">
                  <c:v>144.19999999999999</c:v>
                </c:pt>
                <c:pt idx="4">
                  <c:v>177.9</c:v>
                </c:pt>
                <c:pt idx="5">
                  <c:v>230.6</c:v>
                </c:pt>
                <c:pt idx="6">
                  <c:v>314.5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95CC-4BC8-9A60-27377E15B412}"/>
            </c:ext>
          </c:extLst>
        </c:ser>
        <c:ser>
          <c:idx val="3"/>
          <c:order val="2"/>
          <c:spPr>
            <a:ln w="12700" cap="rnd">
              <a:solidFill>
                <a:schemeClr val="tx1">
                  <a:alpha val="93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/>
              </a:solidFill>
              <a:ln w="19050">
                <a:solidFill>
                  <a:schemeClr val="tx1"/>
                </a:solidFill>
              </a:ln>
              <a:effectLst/>
            </c:spPr>
          </c:marker>
          <c:trendline>
            <c:spPr>
              <a:ln w="25400" cap="rnd">
                <a:solidFill>
                  <a:schemeClr val="tx1"/>
                </a:solidFill>
                <a:prstDash val="sysDot"/>
              </a:ln>
              <a:effectLst/>
            </c:spPr>
            <c:trendlineType val="poly"/>
            <c:order val="2"/>
            <c:intercept val="0"/>
            <c:dispRSqr val="0"/>
            <c:dispEq val="1"/>
            <c:trendlineLbl>
              <c:layout>
                <c:manualLayout>
                  <c:x val="-0.13467699430199431"/>
                  <c:y val="-5.7197712418300658E-3"/>
                </c:manualLayout>
              </c:layout>
              <c:numFmt formatCode="General" sourceLinked="0"/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uk-UA"/>
                </a:p>
              </c:txPr>
            </c:trendlineLbl>
          </c:trendline>
          <c:xVal>
            <c:numRef>
              <c:f>'6.6'!$B$16:$I$16</c:f>
              <c:numCache>
                <c:formatCode>General</c:formatCode>
                <c:ptCount val="8"/>
                <c:pt idx="0">
                  <c:v>3</c:v>
                </c:pt>
                <c:pt idx="1">
                  <c:v>6</c:v>
                </c:pt>
                <c:pt idx="2">
                  <c:v>9</c:v>
                </c:pt>
                <c:pt idx="3">
                  <c:v>12</c:v>
                </c:pt>
                <c:pt idx="4">
                  <c:v>15</c:v>
                </c:pt>
                <c:pt idx="5">
                  <c:v>18</c:v>
                </c:pt>
                <c:pt idx="6">
                  <c:v>21</c:v>
                </c:pt>
                <c:pt idx="7">
                  <c:v>24</c:v>
                </c:pt>
              </c:numCache>
            </c:numRef>
          </c:xVal>
          <c:yVal>
            <c:numRef>
              <c:f>'6.6'!$B$23:$I$23</c:f>
              <c:numCache>
                <c:formatCode>0.0</c:formatCode>
                <c:ptCount val="8"/>
                <c:pt idx="0">
                  <c:v>48.1</c:v>
                </c:pt>
                <c:pt idx="1">
                  <c:v>115.6</c:v>
                </c:pt>
                <c:pt idx="2">
                  <c:v>194</c:v>
                </c:pt>
                <c:pt idx="3">
                  <c:v>285.7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95CC-4BC8-9A60-27377E15B4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3446064"/>
        <c:axId val="243446456"/>
      </c:scatterChart>
      <c:valAx>
        <c:axId val="243446064"/>
        <c:scaling>
          <c:orientation val="minMax"/>
          <c:max val="24"/>
        </c:scaling>
        <c:delete val="0"/>
        <c:axPos val="b"/>
        <c:majorGridlines>
          <c:spPr>
            <a:ln w="6350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243446456"/>
        <c:crosses val="autoZero"/>
        <c:crossBetween val="midCat"/>
        <c:majorUnit val="3"/>
      </c:valAx>
      <c:valAx>
        <c:axId val="243446456"/>
        <c:scaling>
          <c:orientation val="minMax"/>
          <c:max val="350"/>
        </c:scaling>
        <c:delete val="0"/>
        <c:axPos val="l"/>
        <c:majorGridlines>
          <c:spPr>
            <a:ln w="6350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24344606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52849002849003"/>
          <c:y val="3.1659313725490197E-2"/>
          <c:w val="0.82093910256410252"/>
          <c:h val="0.86431454248366013"/>
        </c:manualLayout>
      </c:layout>
      <c:scatterChart>
        <c:scatterStyle val="lineMarker"/>
        <c:varyColors val="0"/>
        <c:ser>
          <c:idx val="0"/>
          <c:order val="0"/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/>
              </a:solidFill>
              <a:ln w="19050">
                <a:solidFill>
                  <a:schemeClr val="tx1"/>
                </a:solidFill>
              </a:ln>
              <a:effectLst/>
            </c:spPr>
          </c:marker>
          <c:trendline>
            <c:spPr>
              <a:ln w="25400" cap="rnd">
                <a:solidFill>
                  <a:schemeClr val="tx1"/>
                </a:solidFill>
                <a:prstDash val="sysDot"/>
              </a:ln>
              <a:effectLst/>
            </c:spPr>
            <c:trendlineType val="power"/>
            <c:dispRSqr val="0"/>
            <c:dispEq val="1"/>
            <c:trendlineLbl>
              <c:layout>
                <c:manualLayout>
                  <c:x val="-3.4135327635327638E-2"/>
                  <c:y val="-6.4929738562091499E-2"/>
                </c:manualLayout>
              </c:layout>
              <c:numFmt formatCode="#,##0.000" sourceLinked="0"/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uk-UA"/>
                </a:p>
              </c:txPr>
            </c:trendlineLbl>
          </c:trendline>
          <c:xVal>
            <c:numRef>
              <c:f>'6.6'!$A$17:$A$23</c:f>
              <c:numCache>
                <c:formatCode>0</c:formatCode>
                <c:ptCount val="7"/>
                <c:pt idx="0">
                  <c:v>5</c:v>
                </c:pt>
                <c:pt idx="1">
                  <c:v>25</c:v>
                </c:pt>
                <c:pt idx="2">
                  <c:v>50</c:v>
                </c:pt>
                <c:pt idx="3">
                  <c:v>75</c:v>
                </c:pt>
                <c:pt idx="4">
                  <c:v>100</c:v>
                </c:pt>
                <c:pt idx="5">
                  <c:v>125</c:v>
                </c:pt>
                <c:pt idx="6">
                  <c:v>150</c:v>
                </c:pt>
              </c:numCache>
            </c:numRef>
          </c:xVal>
          <c:yVal>
            <c:numRef>
              <c:f>'6.6'!$B$17:$B$23</c:f>
              <c:numCache>
                <c:formatCode>0.0</c:formatCode>
                <c:ptCount val="7"/>
                <c:pt idx="0">
                  <c:v>8.1</c:v>
                </c:pt>
                <c:pt idx="1">
                  <c:v>15.4</c:v>
                </c:pt>
                <c:pt idx="2">
                  <c:v>25.8</c:v>
                </c:pt>
                <c:pt idx="3">
                  <c:v>31.2</c:v>
                </c:pt>
                <c:pt idx="4">
                  <c:v>36.6</c:v>
                </c:pt>
                <c:pt idx="5">
                  <c:v>38.9</c:v>
                </c:pt>
                <c:pt idx="6">
                  <c:v>48.1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F1F-4F32-B054-1D17FFB73C94}"/>
            </c:ext>
          </c:extLst>
        </c:ser>
        <c:ser>
          <c:idx val="1"/>
          <c:order val="1"/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19050">
                <a:solidFill>
                  <a:schemeClr val="tx1"/>
                </a:solidFill>
              </a:ln>
              <a:effectLst/>
            </c:spPr>
          </c:marker>
          <c:trendline>
            <c:spPr>
              <a:ln w="25400" cap="rnd">
                <a:solidFill>
                  <a:schemeClr val="tx1"/>
                </a:solidFill>
                <a:prstDash val="sysDot"/>
              </a:ln>
              <a:effectLst/>
            </c:spPr>
            <c:trendlineType val="power"/>
            <c:dispRSqr val="0"/>
            <c:dispEq val="1"/>
            <c:trendlineLbl>
              <c:layout>
                <c:manualLayout>
                  <c:x val="1.25E-4"/>
                  <c:y val="-5.2890931372549022E-2"/>
                </c:manualLayout>
              </c:layout>
              <c:numFmt formatCode="#,##0.000" sourceLinked="0"/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uk-UA"/>
                </a:p>
              </c:txPr>
            </c:trendlineLbl>
          </c:trendline>
          <c:xVal>
            <c:numRef>
              <c:f>'6.6'!$A$17:$A$23</c:f>
              <c:numCache>
                <c:formatCode>0</c:formatCode>
                <c:ptCount val="7"/>
                <c:pt idx="0">
                  <c:v>5</c:v>
                </c:pt>
                <c:pt idx="1">
                  <c:v>25</c:v>
                </c:pt>
                <c:pt idx="2">
                  <c:v>50</c:v>
                </c:pt>
                <c:pt idx="3">
                  <c:v>75</c:v>
                </c:pt>
                <c:pt idx="4">
                  <c:v>100</c:v>
                </c:pt>
                <c:pt idx="5">
                  <c:v>125</c:v>
                </c:pt>
                <c:pt idx="6">
                  <c:v>150</c:v>
                </c:pt>
              </c:numCache>
            </c:numRef>
          </c:xVal>
          <c:yVal>
            <c:numRef>
              <c:f>'6.6'!$D$17:$D$23</c:f>
              <c:numCache>
                <c:formatCode>0.0</c:formatCode>
                <c:ptCount val="7"/>
                <c:pt idx="0">
                  <c:v>28</c:v>
                </c:pt>
                <c:pt idx="1">
                  <c:v>59.8</c:v>
                </c:pt>
                <c:pt idx="2">
                  <c:v>97.9</c:v>
                </c:pt>
                <c:pt idx="3">
                  <c:v>129.30000000000001</c:v>
                </c:pt>
                <c:pt idx="4">
                  <c:v>144.19999999999999</c:v>
                </c:pt>
                <c:pt idx="5">
                  <c:v>177.9</c:v>
                </c:pt>
                <c:pt idx="6">
                  <c:v>194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F1F-4F32-B054-1D17FFB73C94}"/>
            </c:ext>
          </c:extLst>
        </c:ser>
        <c:ser>
          <c:idx val="2"/>
          <c:order val="2"/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19050">
                <a:solidFill>
                  <a:schemeClr val="tx1"/>
                </a:solidFill>
              </a:ln>
              <a:effectLst/>
            </c:spPr>
          </c:marker>
          <c:trendline>
            <c:spPr>
              <a:ln w="25400" cap="rnd">
                <a:solidFill>
                  <a:schemeClr val="tx1"/>
                </a:solidFill>
                <a:prstDash val="sysDot"/>
              </a:ln>
              <a:effectLst/>
            </c:spPr>
            <c:trendlineType val="power"/>
            <c:dispRSqr val="0"/>
            <c:dispEq val="1"/>
            <c:trendlineLbl>
              <c:layout>
                <c:manualLayout>
                  <c:x val="-9.9376424501424504E-2"/>
                  <c:y val="-1.6095588235294118E-2"/>
                </c:manualLayout>
              </c:layout>
              <c:numFmt formatCode="#,##0.000" sourceLinked="0"/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uk-UA"/>
                </a:p>
              </c:txPr>
            </c:trendlineLbl>
          </c:trendline>
          <c:xVal>
            <c:numRef>
              <c:f>'6.6'!$A$17:$A$23</c:f>
              <c:numCache>
                <c:formatCode>0</c:formatCode>
                <c:ptCount val="7"/>
                <c:pt idx="0">
                  <c:v>5</c:v>
                </c:pt>
                <c:pt idx="1">
                  <c:v>25</c:v>
                </c:pt>
                <c:pt idx="2">
                  <c:v>50</c:v>
                </c:pt>
                <c:pt idx="3">
                  <c:v>75</c:v>
                </c:pt>
                <c:pt idx="4">
                  <c:v>100</c:v>
                </c:pt>
                <c:pt idx="5">
                  <c:v>125</c:v>
                </c:pt>
                <c:pt idx="6">
                  <c:v>150</c:v>
                </c:pt>
              </c:numCache>
            </c:numRef>
          </c:xVal>
          <c:yVal>
            <c:numRef>
              <c:f>'6.6'!$F$17:$F$23</c:f>
              <c:numCache>
                <c:formatCode>0.0</c:formatCode>
                <c:ptCount val="7"/>
                <c:pt idx="0">
                  <c:v>59.8</c:v>
                </c:pt>
                <c:pt idx="1">
                  <c:v>129.30000000000001</c:v>
                </c:pt>
                <c:pt idx="2">
                  <c:v>177.9</c:v>
                </c:pt>
                <c:pt idx="3">
                  <c:v>230.6</c:v>
                </c:pt>
                <c:pt idx="4">
                  <c:v>285.7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BF1F-4F32-B054-1D17FFB73C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3447240"/>
        <c:axId val="243447632"/>
      </c:scatterChart>
      <c:valAx>
        <c:axId val="243447240"/>
        <c:scaling>
          <c:orientation val="minMax"/>
          <c:max val="150"/>
        </c:scaling>
        <c:delete val="0"/>
        <c:axPos val="b"/>
        <c:majorGridlines>
          <c:spPr>
            <a:ln w="6350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243447632"/>
        <c:crosses val="autoZero"/>
        <c:crossBetween val="midCat"/>
        <c:majorUnit val="25"/>
      </c:valAx>
      <c:valAx>
        <c:axId val="24344763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2434472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  <c:userShapes r:id="rId3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027546296296306E-2"/>
          <c:y val="2.6910416666666666E-2"/>
          <c:w val="0.87952384259259264"/>
          <c:h val="0.81662534722222224"/>
        </c:manualLayout>
      </c:layout>
      <c:scatterChart>
        <c:scatterStyle val="lineMarker"/>
        <c:varyColors val="0"/>
        <c:ser>
          <c:idx val="0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'6.7'!$B$5:$B$34</c:f>
              <c:numCache>
                <c:formatCode>General</c:formatCode>
                <c:ptCount val="30"/>
                <c:pt idx="0">
                  <c:v>200</c:v>
                </c:pt>
                <c:pt idx="1">
                  <c:v>300</c:v>
                </c:pt>
                <c:pt idx="2">
                  <c:v>400</c:v>
                </c:pt>
                <c:pt idx="3">
                  <c:v>500</c:v>
                </c:pt>
                <c:pt idx="4">
                  <c:v>600</c:v>
                </c:pt>
                <c:pt idx="5">
                  <c:v>700</c:v>
                </c:pt>
                <c:pt idx="6">
                  <c:v>800</c:v>
                </c:pt>
                <c:pt idx="7">
                  <c:v>900</c:v>
                </c:pt>
                <c:pt idx="8">
                  <c:v>1000</c:v>
                </c:pt>
                <c:pt idx="9">
                  <c:v>1100</c:v>
                </c:pt>
                <c:pt idx="10">
                  <c:v>1200</c:v>
                </c:pt>
                <c:pt idx="11">
                  <c:v>500</c:v>
                </c:pt>
                <c:pt idx="12">
                  <c:v>600</c:v>
                </c:pt>
                <c:pt idx="13">
                  <c:v>800</c:v>
                </c:pt>
                <c:pt idx="14">
                  <c:v>1000</c:v>
                </c:pt>
                <c:pt idx="15">
                  <c:v>1200</c:v>
                </c:pt>
                <c:pt idx="16">
                  <c:v>1400</c:v>
                </c:pt>
                <c:pt idx="17">
                  <c:v>1600</c:v>
                </c:pt>
                <c:pt idx="18">
                  <c:v>800</c:v>
                </c:pt>
                <c:pt idx="19">
                  <c:v>1000</c:v>
                </c:pt>
                <c:pt idx="20">
                  <c:v>1200</c:v>
                </c:pt>
                <c:pt idx="21">
                  <c:v>800</c:v>
                </c:pt>
                <c:pt idx="22">
                  <c:v>1000</c:v>
                </c:pt>
                <c:pt idx="23">
                  <c:v>1000</c:v>
                </c:pt>
                <c:pt idx="24">
                  <c:v>1200</c:v>
                </c:pt>
                <c:pt idx="25">
                  <c:v>1400</c:v>
                </c:pt>
                <c:pt idx="26">
                  <c:v>1600</c:v>
                </c:pt>
                <c:pt idx="27">
                  <c:v>1200</c:v>
                </c:pt>
                <c:pt idx="28">
                  <c:v>1400</c:v>
                </c:pt>
                <c:pt idx="29">
                  <c:v>1600</c:v>
                </c:pt>
              </c:numCache>
            </c:numRef>
          </c:xVal>
          <c:yVal>
            <c:numRef>
              <c:f>'6.7'!$D$5:$D$34</c:f>
              <c:numCache>
                <c:formatCode>0.00</c:formatCode>
                <c:ptCount val="30"/>
                <c:pt idx="0" formatCode="General">
                  <c:v>6.5000000000000002E-2</c:v>
                </c:pt>
                <c:pt idx="1">
                  <c:v>0.08</c:v>
                </c:pt>
                <c:pt idx="2">
                  <c:v>0.1</c:v>
                </c:pt>
                <c:pt idx="3">
                  <c:v>0.12</c:v>
                </c:pt>
                <c:pt idx="4">
                  <c:v>0.13</c:v>
                </c:pt>
                <c:pt idx="5">
                  <c:v>0.18</c:v>
                </c:pt>
                <c:pt idx="6">
                  <c:v>0.21</c:v>
                </c:pt>
                <c:pt idx="7">
                  <c:v>0.24</c:v>
                </c:pt>
                <c:pt idx="8">
                  <c:v>0.28999999999999998</c:v>
                </c:pt>
                <c:pt idx="9">
                  <c:v>0.34</c:v>
                </c:pt>
                <c:pt idx="10">
                  <c:v>0.38</c:v>
                </c:pt>
                <c:pt idx="11">
                  <c:v>0.14000000000000001</c:v>
                </c:pt>
                <c:pt idx="12">
                  <c:v>0.16</c:v>
                </c:pt>
                <c:pt idx="13">
                  <c:v>0.21</c:v>
                </c:pt>
                <c:pt idx="14">
                  <c:v>0.27</c:v>
                </c:pt>
                <c:pt idx="15">
                  <c:v>0.36</c:v>
                </c:pt>
                <c:pt idx="16">
                  <c:v>0.47</c:v>
                </c:pt>
                <c:pt idx="17">
                  <c:v>0.57999999999999996</c:v>
                </c:pt>
                <c:pt idx="18">
                  <c:v>0.23</c:v>
                </c:pt>
                <c:pt idx="19">
                  <c:v>0.33</c:v>
                </c:pt>
                <c:pt idx="20">
                  <c:v>0.41</c:v>
                </c:pt>
                <c:pt idx="21">
                  <c:v>0.22</c:v>
                </c:pt>
                <c:pt idx="22">
                  <c:v>0.28000000000000003</c:v>
                </c:pt>
                <c:pt idx="23">
                  <c:v>0.23</c:v>
                </c:pt>
                <c:pt idx="24">
                  <c:v>0.28999999999999998</c:v>
                </c:pt>
                <c:pt idx="25">
                  <c:v>0.35</c:v>
                </c:pt>
                <c:pt idx="26">
                  <c:v>0.41</c:v>
                </c:pt>
                <c:pt idx="27">
                  <c:v>0.35</c:v>
                </c:pt>
                <c:pt idx="28">
                  <c:v>0.41</c:v>
                </c:pt>
                <c:pt idx="29">
                  <c:v>0.47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92F-4A0D-993A-BD80A06CE7D6}"/>
            </c:ext>
          </c:extLst>
        </c:ser>
        <c:ser>
          <c:idx val="1"/>
          <c:order val="1"/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'6.7'!$B$5:$B$27</c:f>
              <c:numCache>
                <c:formatCode>General</c:formatCode>
                <c:ptCount val="23"/>
                <c:pt idx="0">
                  <c:v>200</c:v>
                </c:pt>
                <c:pt idx="1">
                  <c:v>300</c:v>
                </c:pt>
                <c:pt idx="2">
                  <c:v>400</c:v>
                </c:pt>
                <c:pt idx="3">
                  <c:v>500</c:v>
                </c:pt>
                <c:pt idx="4">
                  <c:v>600</c:v>
                </c:pt>
                <c:pt idx="5">
                  <c:v>700</c:v>
                </c:pt>
                <c:pt idx="6">
                  <c:v>800</c:v>
                </c:pt>
                <c:pt idx="7">
                  <c:v>900</c:v>
                </c:pt>
                <c:pt idx="8">
                  <c:v>1000</c:v>
                </c:pt>
                <c:pt idx="9">
                  <c:v>1100</c:v>
                </c:pt>
                <c:pt idx="10">
                  <c:v>1200</c:v>
                </c:pt>
                <c:pt idx="11">
                  <c:v>500</c:v>
                </c:pt>
                <c:pt idx="12">
                  <c:v>600</c:v>
                </c:pt>
                <c:pt idx="13">
                  <c:v>800</c:v>
                </c:pt>
                <c:pt idx="14">
                  <c:v>1000</c:v>
                </c:pt>
                <c:pt idx="15">
                  <c:v>1200</c:v>
                </c:pt>
                <c:pt idx="16">
                  <c:v>1400</c:v>
                </c:pt>
                <c:pt idx="17">
                  <c:v>1600</c:v>
                </c:pt>
                <c:pt idx="18">
                  <c:v>800</c:v>
                </c:pt>
                <c:pt idx="19">
                  <c:v>1000</c:v>
                </c:pt>
                <c:pt idx="20">
                  <c:v>1200</c:v>
                </c:pt>
                <c:pt idx="21">
                  <c:v>800</c:v>
                </c:pt>
                <c:pt idx="22">
                  <c:v>1000</c:v>
                </c:pt>
              </c:numCache>
            </c:numRef>
          </c:xVal>
          <c:yVal>
            <c:numRef>
              <c:f>'6.7'!$C$5:$C$27</c:f>
              <c:numCache>
                <c:formatCode>0.000</c:formatCode>
                <c:ptCount val="23"/>
                <c:pt idx="0">
                  <c:v>3.5486674737691487E-2</c:v>
                </c:pt>
                <c:pt idx="1">
                  <c:v>7.025342559883882E-2</c:v>
                </c:pt>
                <c:pt idx="2">
                  <c:v>0.11154903792869528</c:v>
                </c:pt>
                <c:pt idx="3">
                  <c:v>0.15683080658294576</c:v>
                </c:pt>
                <c:pt idx="4">
                  <c:v>0.2046166205756397</c:v>
                </c:pt>
                <c:pt idx="5">
                  <c:v>0.25404038450373412</c:v>
                </c:pt>
                <c:pt idx="6">
                  <c:v>0.30457963795241816</c:v>
                </c:pt>
                <c:pt idx="7">
                  <c:v>0.35590665822414036</c:v>
                </c:pt>
                <c:pt idx="8">
                  <c:v>0.40780785482414728</c:v>
                </c:pt>
                <c:pt idx="9">
                  <c:v>0.46013908117453772</c:v>
                </c:pt>
                <c:pt idx="10">
                  <c:v>0.51280000000000003</c:v>
                </c:pt>
                <c:pt idx="11">
                  <c:v>0.15683080658294576</c:v>
                </c:pt>
                <c:pt idx="12">
                  <c:v>0.2046166205756397</c:v>
                </c:pt>
                <c:pt idx="13">
                  <c:v>0.30457963795241816</c:v>
                </c:pt>
                <c:pt idx="14">
                  <c:v>0.40780785482414728</c:v>
                </c:pt>
                <c:pt idx="15">
                  <c:v>0.51280000000000003</c:v>
                </c:pt>
                <c:pt idx="16">
                  <c:v>0.61884303938598562</c:v>
                </c:pt>
                <c:pt idx="17">
                  <c:v>0.72555952933724321</c:v>
                </c:pt>
                <c:pt idx="18">
                  <c:v>0.30457963795241816</c:v>
                </c:pt>
                <c:pt idx="19">
                  <c:v>0.40780785482414728</c:v>
                </c:pt>
                <c:pt idx="20">
                  <c:v>0.51280000000000003</c:v>
                </c:pt>
                <c:pt idx="21">
                  <c:v>0.30457963795241816</c:v>
                </c:pt>
                <c:pt idx="22">
                  <c:v>0.40780785482414728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92F-4A0D-993A-BD80A06CE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2521200"/>
        <c:axId val="242521592"/>
      </c:scatterChart>
      <c:valAx>
        <c:axId val="24252120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uk-UA" sz="1100" b="1"/>
                  <a:t>Густина,  кг/м</a:t>
                </a:r>
                <a:r>
                  <a:rPr lang="uk-UA" sz="1100" b="1" baseline="30000"/>
                  <a:t>3</a:t>
                </a:r>
              </a:p>
            </c:rich>
          </c:tx>
          <c:layout>
            <c:manualLayout>
              <c:xMode val="edge"/>
              <c:yMode val="edge"/>
              <c:x val="0.73891018518518514"/>
              <c:y val="0.9221684027777777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uk-UA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242521592"/>
        <c:crosses val="autoZero"/>
        <c:crossBetween val="midCat"/>
        <c:majorUnit val="200"/>
      </c:valAx>
      <c:valAx>
        <c:axId val="24252159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2425212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  <c:userShapes r:id="rId3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027546296296306E-2"/>
          <c:y val="2.6910416666666666E-2"/>
          <c:w val="0.87952384259259264"/>
          <c:h val="0.83426423611111111"/>
        </c:manualLayout>
      </c:layout>
      <c:scatterChart>
        <c:scatterStyle val="lineMarker"/>
        <c:varyColors val="0"/>
        <c:ser>
          <c:idx val="0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'6.7'!$B$5:$B$34</c:f>
              <c:numCache>
                <c:formatCode>General</c:formatCode>
                <c:ptCount val="30"/>
                <c:pt idx="0">
                  <c:v>200</c:v>
                </c:pt>
                <c:pt idx="1">
                  <c:v>300</c:v>
                </c:pt>
                <c:pt idx="2">
                  <c:v>400</c:v>
                </c:pt>
                <c:pt idx="3">
                  <c:v>500</c:v>
                </c:pt>
                <c:pt idx="4">
                  <c:v>600</c:v>
                </c:pt>
                <c:pt idx="5">
                  <c:v>700</c:v>
                </c:pt>
                <c:pt idx="6">
                  <c:v>800</c:v>
                </c:pt>
                <c:pt idx="7">
                  <c:v>900</c:v>
                </c:pt>
                <c:pt idx="8">
                  <c:v>1000</c:v>
                </c:pt>
                <c:pt idx="9">
                  <c:v>1100</c:v>
                </c:pt>
                <c:pt idx="10">
                  <c:v>1200</c:v>
                </c:pt>
                <c:pt idx="11">
                  <c:v>500</c:v>
                </c:pt>
                <c:pt idx="12">
                  <c:v>600</c:v>
                </c:pt>
                <c:pt idx="13">
                  <c:v>800</c:v>
                </c:pt>
                <c:pt idx="14">
                  <c:v>1000</c:v>
                </c:pt>
                <c:pt idx="15">
                  <c:v>1200</c:v>
                </c:pt>
                <c:pt idx="16">
                  <c:v>1400</c:v>
                </c:pt>
                <c:pt idx="17">
                  <c:v>1600</c:v>
                </c:pt>
                <c:pt idx="18">
                  <c:v>800</c:v>
                </c:pt>
                <c:pt idx="19">
                  <c:v>1000</c:v>
                </c:pt>
                <c:pt idx="20">
                  <c:v>1200</c:v>
                </c:pt>
                <c:pt idx="21">
                  <c:v>800</c:v>
                </c:pt>
                <c:pt idx="22">
                  <c:v>1000</c:v>
                </c:pt>
                <c:pt idx="23">
                  <c:v>1000</c:v>
                </c:pt>
                <c:pt idx="24">
                  <c:v>1200</c:v>
                </c:pt>
                <c:pt idx="25">
                  <c:v>1400</c:v>
                </c:pt>
                <c:pt idx="26">
                  <c:v>1600</c:v>
                </c:pt>
                <c:pt idx="27">
                  <c:v>1200</c:v>
                </c:pt>
                <c:pt idx="28">
                  <c:v>1400</c:v>
                </c:pt>
                <c:pt idx="29">
                  <c:v>1600</c:v>
                </c:pt>
              </c:numCache>
            </c:numRef>
          </c:xVal>
          <c:yVal>
            <c:numRef>
              <c:f>'6.7'!$E$5:$E$34</c:f>
              <c:numCache>
                <c:formatCode>0.00</c:formatCode>
                <c:ptCount val="30"/>
                <c:pt idx="0" formatCode="General">
                  <c:v>6.9000000000000006E-2</c:v>
                </c:pt>
                <c:pt idx="1">
                  <c:v>0.09</c:v>
                </c:pt>
                <c:pt idx="2">
                  <c:v>0.11</c:v>
                </c:pt>
                <c:pt idx="3">
                  <c:v>0.15</c:v>
                </c:pt>
                <c:pt idx="4">
                  <c:v>0.16</c:v>
                </c:pt>
                <c:pt idx="5">
                  <c:v>0.24</c:v>
                </c:pt>
                <c:pt idx="6">
                  <c:v>0.27</c:v>
                </c:pt>
                <c:pt idx="7">
                  <c:v>0.33</c:v>
                </c:pt>
                <c:pt idx="8">
                  <c:v>0.38</c:v>
                </c:pt>
                <c:pt idx="9">
                  <c:v>0.45</c:v>
                </c:pt>
                <c:pt idx="10">
                  <c:v>0.49</c:v>
                </c:pt>
                <c:pt idx="11">
                  <c:v>0.17</c:v>
                </c:pt>
                <c:pt idx="12">
                  <c:v>0.2</c:v>
                </c:pt>
                <c:pt idx="13">
                  <c:v>0.24</c:v>
                </c:pt>
                <c:pt idx="14">
                  <c:v>0.33</c:v>
                </c:pt>
                <c:pt idx="15">
                  <c:v>0.44</c:v>
                </c:pt>
                <c:pt idx="16">
                  <c:v>0.56000000000000005</c:v>
                </c:pt>
                <c:pt idx="17">
                  <c:v>0.67</c:v>
                </c:pt>
                <c:pt idx="18">
                  <c:v>0.28999999999999998</c:v>
                </c:pt>
                <c:pt idx="19">
                  <c:v>0.41</c:v>
                </c:pt>
                <c:pt idx="20">
                  <c:v>0.52</c:v>
                </c:pt>
                <c:pt idx="21">
                  <c:v>0.28999999999999998</c:v>
                </c:pt>
                <c:pt idx="22">
                  <c:v>0.35</c:v>
                </c:pt>
                <c:pt idx="23">
                  <c:v>0.31</c:v>
                </c:pt>
                <c:pt idx="24">
                  <c:v>0.37</c:v>
                </c:pt>
                <c:pt idx="25">
                  <c:v>0.44</c:v>
                </c:pt>
                <c:pt idx="26">
                  <c:v>0.52</c:v>
                </c:pt>
                <c:pt idx="27">
                  <c:v>0.47</c:v>
                </c:pt>
                <c:pt idx="28">
                  <c:v>0.52</c:v>
                </c:pt>
                <c:pt idx="29">
                  <c:v>0.57999999999999996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8C5-40DC-980D-7E0DAE756CC8}"/>
            </c:ext>
          </c:extLst>
        </c:ser>
        <c:ser>
          <c:idx val="1"/>
          <c:order val="1"/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'6.7'!$B$5:$B$27</c:f>
              <c:numCache>
                <c:formatCode>General</c:formatCode>
                <c:ptCount val="23"/>
                <c:pt idx="0">
                  <c:v>200</c:v>
                </c:pt>
                <c:pt idx="1">
                  <c:v>300</c:v>
                </c:pt>
                <c:pt idx="2">
                  <c:v>400</c:v>
                </c:pt>
                <c:pt idx="3">
                  <c:v>500</c:v>
                </c:pt>
                <c:pt idx="4">
                  <c:v>600</c:v>
                </c:pt>
                <c:pt idx="5">
                  <c:v>700</c:v>
                </c:pt>
                <c:pt idx="6">
                  <c:v>800</c:v>
                </c:pt>
                <c:pt idx="7">
                  <c:v>900</c:v>
                </c:pt>
                <c:pt idx="8">
                  <c:v>1000</c:v>
                </c:pt>
                <c:pt idx="9">
                  <c:v>1100</c:v>
                </c:pt>
                <c:pt idx="10">
                  <c:v>1200</c:v>
                </c:pt>
                <c:pt idx="11">
                  <c:v>500</c:v>
                </c:pt>
                <c:pt idx="12">
                  <c:v>600</c:v>
                </c:pt>
                <c:pt idx="13">
                  <c:v>800</c:v>
                </c:pt>
                <c:pt idx="14">
                  <c:v>1000</c:v>
                </c:pt>
                <c:pt idx="15">
                  <c:v>1200</c:v>
                </c:pt>
                <c:pt idx="16">
                  <c:v>1400</c:v>
                </c:pt>
                <c:pt idx="17">
                  <c:v>1600</c:v>
                </c:pt>
                <c:pt idx="18">
                  <c:v>800</c:v>
                </c:pt>
                <c:pt idx="19">
                  <c:v>1000</c:v>
                </c:pt>
                <c:pt idx="20">
                  <c:v>1200</c:v>
                </c:pt>
                <c:pt idx="21">
                  <c:v>800</c:v>
                </c:pt>
                <c:pt idx="22">
                  <c:v>1000</c:v>
                </c:pt>
              </c:numCache>
            </c:numRef>
          </c:xVal>
          <c:yVal>
            <c:numRef>
              <c:f>'6.7'!$C$5:$C$27</c:f>
              <c:numCache>
                <c:formatCode>0.000</c:formatCode>
                <c:ptCount val="23"/>
                <c:pt idx="0">
                  <c:v>3.5486674737691487E-2</c:v>
                </c:pt>
                <c:pt idx="1">
                  <c:v>7.025342559883882E-2</c:v>
                </c:pt>
                <c:pt idx="2">
                  <c:v>0.11154903792869528</c:v>
                </c:pt>
                <c:pt idx="3">
                  <c:v>0.15683080658294576</c:v>
                </c:pt>
                <c:pt idx="4">
                  <c:v>0.2046166205756397</c:v>
                </c:pt>
                <c:pt idx="5">
                  <c:v>0.25404038450373412</c:v>
                </c:pt>
                <c:pt idx="6">
                  <c:v>0.30457963795241816</c:v>
                </c:pt>
                <c:pt idx="7">
                  <c:v>0.35590665822414036</c:v>
                </c:pt>
                <c:pt idx="8">
                  <c:v>0.40780785482414728</c:v>
                </c:pt>
                <c:pt idx="9">
                  <c:v>0.46013908117453772</c:v>
                </c:pt>
                <c:pt idx="10">
                  <c:v>0.51280000000000003</c:v>
                </c:pt>
                <c:pt idx="11">
                  <c:v>0.15683080658294576</c:v>
                </c:pt>
                <c:pt idx="12">
                  <c:v>0.2046166205756397</c:v>
                </c:pt>
                <c:pt idx="13">
                  <c:v>0.30457963795241816</c:v>
                </c:pt>
                <c:pt idx="14">
                  <c:v>0.40780785482414728</c:v>
                </c:pt>
                <c:pt idx="15">
                  <c:v>0.51280000000000003</c:v>
                </c:pt>
                <c:pt idx="16">
                  <c:v>0.61884303938598562</c:v>
                </c:pt>
                <c:pt idx="17">
                  <c:v>0.72555952933724321</c:v>
                </c:pt>
                <c:pt idx="18">
                  <c:v>0.30457963795241816</c:v>
                </c:pt>
                <c:pt idx="19">
                  <c:v>0.40780785482414728</c:v>
                </c:pt>
                <c:pt idx="20">
                  <c:v>0.51280000000000003</c:v>
                </c:pt>
                <c:pt idx="21">
                  <c:v>0.30457963795241816</c:v>
                </c:pt>
                <c:pt idx="22">
                  <c:v>0.40780785482414728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8C5-40DC-980D-7E0DAE756C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2522376"/>
        <c:axId val="242522768"/>
      </c:scatterChart>
      <c:valAx>
        <c:axId val="242522376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uk-UA" sz="1100" b="1"/>
                  <a:t>Густина,  кг/м</a:t>
                </a:r>
                <a:r>
                  <a:rPr lang="uk-UA" sz="1100" b="1" baseline="30000"/>
                  <a:t>3</a:t>
                </a:r>
              </a:p>
            </c:rich>
          </c:tx>
          <c:layout>
            <c:manualLayout>
              <c:xMode val="edge"/>
              <c:yMode val="edge"/>
              <c:x val="0.73891018518518514"/>
              <c:y val="0.9221684027777777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uk-UA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242522768"/>
        <c:crosses val="autoZero"/>
        <c:crossBetween val="midCat"/>
        <c:majorUnit val="200"/>
      </c:valAx>
      <c:valAx>
        <c:axId val="24252276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2425223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  <c:userShapes r:id="rId3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823611111111113E-2"/>
          <c:y val="2.7103324843395057E-2"/>
          <c:w val="0.88372777777777778"/>
          <c:h val="0.81643250499070696"/>
        </c:manualLayout>
      </c:layout>
      <c:scatterChart>
        <c:scatterStyle val="lineMarker"/>
        <c:varyColors val="0"/>
        <c:ser>
          <c:idx val="0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'6.7'!$B$5:$B$34</c:f>
              <c:numCache>
                <c:formatCode>General</c:formatCode>
                <c:ptCount val="30"/>
                <c:pt idx="0">
                  <c:v>200</c:v>
                </c:pt>
                <c:pt idx="1">
                  <c:v>300</c:v>
                </c:pt>
                <c:pt idx="2">
                  <c:v>400</c:v>
                </c:pt>
                <c:pt idx="3">
                  <c:v>500</c:v>
                </c:pt>
                <c:pt idx="4">
                  <c:v>600</c:v>
                </c:pt>
                <c:pt idx="5">
                  <c:v>700</c:v>
                </c:pt>
                <c:pt idx="6">
                  <c:v>800</c:v>
                </c:pt>
                <c:pt idx="7">
                  <c:v>900</c:v>
                </c:pt>
                <c:pt idx="8">
                  <c:v>1000</c:v>
                </c:pt>
                <c:pt idx="9">
                  <c:v>1100</c:v>
                </c:pt>
                <c:pt idx="10">
                  <c:v>1200</c:v>
                </c:pt>
                <c:pt idx="11">
                  <c:v>500</c:v>
                </c:pt>
                <c:pt idx="12">
                  <c:v>600</c:v>
                </c:pt>
                <c:pt idx="13">
                  <c:v>800</c:v>
                </c:pt>
                <c:pt idx="14">
                  <c:v>1000</c:v>
                </c:pt>
                <c:pt idx="15">
                  <c:v>1200</c:v>
                </c:pt>
                <c:pt idx="16">
                  <c:v>1400</c:v>
                </c:pt>
                <c:pt idx="17">
                  <c:v>1600</c:v>
                </c:pt>
                <c:pt idx="18">
                  <c:v>800</c:v>
                </c:pt>
                <c:pt idx="19">
                  <c:v>1000</c:v>
                </c:pt>
                <c:pt idx="20">
                  <c:v>1200</c:v>
                </c:pt>
                <c:pt idx="21">
                  <c:v>800</c:v>
                </c:pt>
                <c:pt idx="22">
                  <c:v>1000</c:v>
                </c:pt>
                <c:pt idx="23">
                  <c:v>1000</c:v>
                </c:pt>
                <c:pt idx="24">
                  <c:v>1200</c:v>
                </c:pt>
                <c:pt idx="25">
                  <c:v>1400</c:v>
                </c:pt>
                <c:pt idx="26">
                  <c:v>1600</c:v>
                </c:pt>
                <c:pt idx="27">
                  <c:v>1200</c:v>
                </c:pt>
                <c:pt idx="28">
                  <c:v>1400</c:v>
                </c:pt>
                <c:pt idx="29">
                  <c:v>1600</c:v>
                </c:pt>
              </c:numCache>
            </c:numRef>
          </c:xVal>
          <c:yVal>
            <c:numRef>
              <c:f>'6.7'!$F$5:$F$34</c:f>
              <c:numCache>
                <c:formatCode>0.00</c:formatCode>
                <c:ptCount val="30"/>
                <c:pt idx="0" formatCode="General">
                  <c:v>7.3999999999999996E-2</c:v>
                </c:pt>
                <c:pt idx="1">
                  <c:v>0.1</c:v>
                </c:pt>
                <c:pt idx="2">
                  <c:v>0.13</c:v>
                </c:pt>
                <c:pt idx="3">
                  <c:v>0.16</c:v>
                </c:pt>
                <c:pt idx="4">
                  <c:v>0.18</c:v>
                </c:pt>
                <c:pt idx="5">
                  <c:v>0.27</c:v>
                </c:pt>
                <c:pt idx="6">
                  <c:v>0.3</c:v>
                </c:pt>
                <c:pt idx="7">
                  <c:v>0.36</c:v>
                </c:pt>
                <c:pt idx="8">
                  <c:v>0.44</c:v>
                </c:pt>
                <c:pt idx="9">
                  <c:v>0.51</c:v>
                </c:pt>
                <c:pt idx="10">
                  <c:v>0.55000000000000004</c:v>
                </c:pt>
                <c:pt idx="11">
                  <c:v>0.23</c:v>
                </c:pt>
                <c:pt idx="12">
                  <c:v>0.26</c:v>
                </c:pt>
                <c:pt idx="13">
                  <c:v>0.31</c:v>
                </c:pt>
                <c:pt idx="14">
                  <c:v>0.41</c:v>
                </c:pt>
                <c:pt idx="15">
                  <c:v>0.52</c:v>
                </c:pt>
                <c:pt idx="16">
                  <c:v>0.65</c:v>
                </c:pt>
                <c:pt idx="17">
                  <c:v>0.79</c:v>
                </c:pt>
                <c:pt idx="18">
                  <c:v>0.35</c:v>
                </c:pt>
                <c:pt idx="19">
                  <c:v>0.47</c:v>
                </c:pt>
                <c:pt idx="20">
                  <c:v>0.57999999999999996</c:v>
                </c:pt>
                <c:pt idx="21">
                  <c:v>0.35</c:v>
                </c:pt>
                <c:pt idx="22">
                  <c:v>0.41</c:v>
                </c:pt>
                <c:pt idx="23">
                  <c:v>0.37</c:v>
                </c:pt>
                <c:pt idx="24">
                  <c:v>0.44</c:v>
                </c:pt>
                <c:pt idx="25">
                  <c:v>0.52</c:v>
                </c:pt>
                <c:pt idx="26">
                  <c:v>0.63</c:v>
                </c:pt>
                <c:pt idx="27">
                  <c:v>0.52</c:v>
                </c:pt>
                <c:pt idx="28">
                  <c:v>0.57999999999999996</c:v>
                </c:pt>
                <c:pt idx="29">
                  <c:v>0.64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7F7-401A-9318-9C46997B20F6}"/>
            </c:ext>
          </c:extLst>
        </c:ser>
        <c:ser>
          <c:idx val="1"/>
          <c:order val="1"/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'6.7'!$B$5:$B$27</c:f>
              <c:numCache>
                <c:formatCode>General</c:formatCode>
                <c:ptCount val="23"/>
                <c:pt idx="0">
                  <c:v>200</c:v>
                </c:pt>
                <c:pt idx="1">
                  <c:v>300</c:v>
                </c:pt>
                <c:pt idx="2">
                  <c:v>400</c:v>
                </c:pt>
                <c:pt idx="3">
                  <c:v>500</c:v>
                </c:pt>
                <c:pt idx="4">
                  <c:v>600</c:v>
                </c:pt>
                <c:pt idx="5">
                  <c:v>700</c:v>
                </c:pt>
                <c:pt idx="6">
                  <c:v>800</c:v>
                </c:pt>
                <c:pt idx="7">
                  <c:v>900</c:v>
                </c:pt>
                <c:pt idx="8">
                  <c:v>1000</c:v>
                </c:pt>
                <c:pt idx="9">
                  <c:v>1100</c:v>
                </c:pt>
                <c:pt idx="10">
                  <c:v>1200</c:v>
                </c:pt>
                <c:pt idx="11">
                  <c:v>500</c:v>
                </c:pt>
                <c:pt idx="12">
                  <c:v>600</c:v>
                </c:pt>
                <c:pt idx="13">
                  <c:v>800</c:v>
                </c:pt>
                <c:pt idx="14">
                  <c:v>1000</c:v>
                </c:pt>
                <c:pt idx="15">
                  <c:v>1200</c:v>
                </c:pt>
                <c:pt idx="16">
                  <c:v>1400</c:v>
                </c:pt>
                <c:pt idx="17">
                  <c:v>1600</c:v>
                </c:pt>
                <c:pt idx="18">
                  <c:v>800</c:v>
                </c:pt>
                <c:pt idx="19">
                  <c:v>1000</c:v>
                </c:pt>
                <c:pt idx="20">
                  <c:v>1200</c:v>
                </c:pt>
                <c:pt idx="21">
                  <c:v>800</c:v>
                </c:pt>
                <c:pt idx="22">
                  <c:v>1000</c:v>
                </c:pt>
              </c:numCache>
            </c:numRef>
          </c:xVal>
          <c:yVal>
            <c:numRef>
              <c:f>'6.7'!$C$5:$C$27</c:f>
              <c:numCache>
                <c:formatCode>0.000</c:formatCode>
                <c:ptCount val="23"/>
                <c:pt idx="0">
                  <c:v>3.5486674737691487E-2</c:v>
                </c:pt>
                <c:pt idx="1">
                  <c:v>7.025342559883882E-2</c:v>
                </c:pt>
                <c:pt idx="2">
                  <c:v>0.11154903792869528</c:v>
                </c:pt>
                <c:pt idx="3">
                  <c:v>0.15683080658294576</c:v>
                </c:pt>
                <c:pt idx="4">
                  <c:v>0.2046166205756397</c:v>
                </c:pt>
                <c:pt idx="5">
                  <c:v>0.25404038450373412</c:v>
                </c:pt>
                <c:pt idx="6">
                  <c:v>0.30457963795241816</c:v>
                </c:pt>
                <c:pt idx="7">
                  <c:v>0.35590665822414036</c:v>
                </c:pt>
                <c:pt idx="8">
                  <c:v>0.40780785482414728</c:v>
                </c:pt>
                <c:pt idx="9">
                  <c:v>0.46013908117453772</c:v>
                </c:pt>
                <c:pt idx="10">
                  <c:v>0.51280000000000003</c:v>
                </c:pt>
                <c:pt idx="11">
                  <c:v>0.15683080658294576</c:v>
                </c:pt>
                <c:pt idx="12">
                  <c:v>0.2046166205756397</c:v>
                </c:pt>
                <c:pt idx="13">
                  <c:v>0.30457963795241816</c:v>
                </c:pt>
                <c:pt idx="14">
                  <c:v>0.40780785482414728</c:v>
                </c:pt>
                <c:pt idx="15">
                  <c:v>0.51280000000000003</c:v>
                </c:pt>
                <c:pt idx="16">
                  <c:v>0.61884303938598562</c:v>
                </c:pt>
                <c:pt idx="17">
                  <c:v>0.72555952933724321</c:v>
                </c:pt>
                <c:pt idx="18">
                  <c:v>0.30457963795241816</c:v>
                </c:pt>
                <c:pt idx="19">
                  <c:v>0.40780785482414728</c:v>
                </c:pt>
                <c:pt idx="20">
                  <c:v>0.51280000000000003</c:v>
                </c:pt>
                <c:pt idx="21">
                  <c:v>0.30457963795241816</c:v>
                </c:pt>
                <c:pt idx="22">
                  <c:v>0.40780785482414728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7F7-401A-9318-9C46997B2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4248920"/>
        <c:axId val="244249312"/>
      </c:scatterChart>
      <c:valAx>
        <c:axId val="2442489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uk-UA" sz="1100" b="1"/>
                  <a:t>Густина,  кг/м</a:t>
                </a:r>
                <a:r>
                  <a:rPr lang="uk-UA" sz="1100" b="1" baseline="30000"/>
                  <a:t>3</a:t>
                </a:r>
              </a:p>
            </c:rich>
          </c:tx>
          <c:layout>
            <c:manualLayout>
              <c:xMode val="edge"/>
              <c:yMode val="edge"/>
              <c:x val="0.73891018518518514"/>
              <c:y val="0.9221684027777777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uk-UA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244249312"/>
        <c:crosses val="autoZero"/>
        <c:crossBetween val="midCat"/>
        <c:majorUnit val="200"/>
      </c:valAx>
      <c:valAx>
        <c:axId val="244249312"/>
        <c:scaling>
          <c:orientation val="minMax"/>
          <c:max val="0.8"/>
        </c:scaling>
        <c:delete val="0"/>
        <c:axPos val="l"/>
        <c:majorGridlines>
          <c:spPr>
            <a:ln w="6350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2442489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914260717410324E-2"/>
          <c:y val="3.7453703703703718E-2"/>
          <c:w val="0.9155301837270341"/>
          <c:h val="0.79075740740740741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chemeClr val="bg1">
                <a:lumMod val="85000"/>
              </a:schemeClr>
            </a:solidFill>
            <a:ln w="6350">
              <a:solidFill>
                <a:schemeClr val="tx1"/>
              </a:solidFill>
            </a:ln>
            <a:effectLst/>
          </c:spPr>
          <c:invertIfNegative val="0"/>
          <c:cat>
            <c:numRef>
              <c:f>'6.7'!$F$52:$F$65</c:f>
              <c:numCache>
                <c:formatCode>General</c:formatCode>
                <c:ptCount val="14"/>
                <c:pt idx="0">
                  <c:v>-40</c:v>
                </c:pt>
                <c:pt idx="1">
                  <c:v>-30</c:v>
                </c:pt>
                <c:pt idx="2">
                  <c:v>-20</c:v>
                </c:pt>
                <c:pt idx="3">
                  <c:v>-10</c:v>
                </c:pt>
                <c:pt idx="4">
                  <c:v>0</c:v>
                </c:pt>
                <c:pt idx="5">
                  <c:v>10</c:v>
                </c:pt>
                <c:pt idx="6">
                  <c:v>20</c:v>
                </c:pt>
                <c:pt idx="7">
                  <c:v>30</c:v>
                </c:pt>
                <c:pt idx="8">
                  <c:v>40</c:v>
                </c:pt>
                <c:pt idx="9">
                  <c:v>50</c:v>
                </c:pt>
                <c:pt idx="10">
                  <c:v>60</c:v>
                </c:pt>
                <c:pt idx="11">
                  <c:v>70</c:v>
                </c:pt>
                <c:pt idx="12">
                  <c:v>80</c:v>
                </c:pt>
                <c:pt idx="13">
                  <c:v>90</c:v>
                </c:pt>
              </c:numCache>
            </c:numRef>
          </c:cat>
          <c:val>
            <c:numRef>
              <c:f>'6.7'!$G$52:$G$65</c:f>
              <c:numCache>
                <c:formatCode>0</c:formatCode>
                <c:ptCount val="1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4</c:v>
                </c:pt>
                <c:pt idx="8">
                  <c:v>6</c:v>
                </c:pt>
                <c:pt idx="9">
                  <c:v>8</c:v>
                </c:pt>
                <c:pt idx="10">
                  <c:v>4</c:v>
                </c:pt>
                <c:pt idx="11">
                  <c:v>0</c:v>
                </c:pt>
                <c:pt idx="12">
                  <c:v>4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BA-4F8E-BF7E-AB85798546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9"/>
        <c:overlap val="-100"/>
        <c:axId val="244250096"/>
        <c:axId val="244250488"/>
      </c:barChart>
      <c:catAx>
        <c:axId val="2442500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uk-UA"/>
                  <a:t>%</a:t>
                </a:r>
              </a:p>
            </c:rich>
          </c:tx>
          <c:layout>
            <c:manualLayout>
              <c:xMode val="edge"/>
              <c:yMode val="edge"/>
              <c:x val="0.90281055555555545"/>
              <c:y val="0.8729604938271604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uk-UA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244250488"/>
        <c:crosses val="autoZero"/>
        <c:auto val="1"/>
        <c:lblAlgn val="ctr"/>
        <c:lblOffset val="100"/>
        <c:noMultiLvlLbl val="0"/>
      </c:catAx>
      <c:valAx>
        <c:axId val="244250488"/>
        <c:scaling>
          <c:orientation val="minMax"/>
          <c:max val="8"/>
        </c:scaling>
        <c:delete val="0"/>
        <c:axPos val="l"/>
        <c:majorGridlines>
          <c:spPr>
            <a:ln w="6350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244250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914260717410324E-2"/>
          <c:y val="3.7453703703703718E-2"/>
          <c:w val="0.81589611111111116"/>
          <c:h val="0.79075740740740741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chemeClr val="bg1">
                <a:lumMod val="85000"/>
              </a:schemeClr>
            </a:solidFill>
            <a:ln w="6350">
              <a:solidFill>
                <a:schemeClr val="tx1"/>
              </a:solidFill>
            </a:ln>
            <a:effectLst/>
          </c:spPr>
          <c:invertIfNegative val="0"/>
          <c:cat>
            <c:numRef>
              <c:f>'6.7'!$F$52:$F$61</c:f>
              <c:numCache>
                <c:formatCode>General</c:formatCode>
                <c:ptCount val="10"/>
                <c:pt idx="0">
                  <c:v>-40</c:v>
                </c:pt>
                <c:pt idx="1">
                  <c:v>-30</c:v>
                </c:pt>
                <c:pt idx="2">
                  <c:v>-20</c:v>
                </c:pt>
                <c:pt idx="3">
                  <c:v>-10</c:v>
                </c:pt>
                <c:pt idx="4">
                  <c:v>0</c:v>
                </c:pt>
                <c:pt idx="5">
                  <c:v>10</c:v>
                </c:pt>
                <c:pt idx="6">
                  <c:v>20</c:v>
                </c:pt>
                <c:pt idx="7">
                  <c:v>30</c:v>
                </c:pt>
                <c:pt idx="8">
                  <c:v>40</c:v>
                </c:pt>
                <c:pt idx="9">
                  <c:v>50</c:v>
                </c:pt>
              </c:numCache>
            </c:numRef>
          </c:cat>
          <c:val>
            <c:numRef>
              <c:f>'6.7'!$H$52:$H$61</c:f>
              <c:numCache>
                <c:formatCode>0</c:formatCode>
                <c:ptCount val="10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3</c:v>
                </c:pt>
                <c:pt idx="5">
                  <c:v>12</c:v>
                </c:pt>
                <c:pt idx="6">
                  <c:v>5</c:v>
                </c:pt>
                <c:pt idx="7">
                  <c:v>4</c:v>
                </c:pt>
                <c:pt idx="8">
                  <c:v>3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FB-4229-81E1-12A15BD2EC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9"/>
        <c:overlap val="-100"/>
        <c:axId val="244251272"/>
        <c:axId val="244251664"/>
      </c:barChart>
      <c:catAx>
        <c:axId val="2442512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uk-UA"/>
                  <a:t>%</a:t>
                </a:r>
              </a:p>
            </c:rich>
          </c:tx>
          <c:layout>
            <c:manualLayout>
              <c:xMode val="edge"/>
              <c:yMode val="edge"/>
              <c:x val="0.90281055555555545"/>
              <c:y val="0.8722857142857143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uk-UA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244251664"/>
        <c:crosses val="autoZero"/>
        <c:auto val="1"/>
        <c:lblAlgn val="ctr"/>
        <c:lblOffset val="100"/>
        <c:noMultiLvlLbl val="0"/>
      </c:catAx>
      <c:valAx>
        <c:axId val="244251664"/>
        <c:scaling>
          <c:orientation val="minMax"/>
          <c:max val="12"/>
        </c:scaling>
        <c:delete val="0"/>
        <c:axPos val="l"/>
        <c:majorGridlines>
          <c:spPr>
            <a:ln w="6350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244251272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  <c:userShapes r:id="rId3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914260717410324E-2"/>
          <c:y val="3.7453703703703718E-2"/>
          <c:w val="0.9155301837270341"/>
          <c:h val="0.79075740740740741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chemeClr val="bg1">
                <a:lumMod val="85000"/>
              </a:schemeClr>
            </a:solidFill>
            <a:ln w="6350">
              <a:solidFill>
                <a:schemeClr val="tx1"/>
              </a:solidFill>
            </a:ln>
            <a:effectLst/>
          </c:spPr>
          <c:invertIfNegative val="0"/>
          <c:cat>
            <c:numRef>
              <c:f>'6.7'!$F$50:$F$59</c:f>
              <c:numCache>
                <c:formatCode>General</c:formatCode>
                <c:ptCount val="10"/>
                <c:pt idx="0">
                  <c:v>-60</c:v>
                </c:pt>
                <c:pt idx="1">
                  <c:v>-50</c:v>
                </c:pt>
                <c:pt idx="2">
                  <c:v>-40</c:v>
                </c:pt>
                <c:pt idx="3">
                  <c:v>-30</c:v>
                </c:pt>
                <c:pt idx="4">
                  <c:v>-20</c:v>
                </c:pt>
                <c:pt idx="5">
                  <c:v>-10</c:v>
                </c:pt>
                <c:pt idx="6">
                  <c:v>0</c:v>
                </c:pt>
                <c:pt idx="7">
                  <c:v>10</c:v>
                </c:pt>
                <c:pt idx="8">
                  <c:v>20</c:v>
                </c:pt>
                <c:pt idx="9">
                  <c:v>30</c:v>
                </c:pt>
              </c:numCache>
            </c:numRef>
          </c:cat>
          <c:val>
            <c:numRef>
              <c:f>'6.7'!$I$50:$I$59</c:f>
              <c:numCache>
                <c:formatCode>0</c:formatCode>
                <c:ptCount val="10"/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5</c:v>
                </c:pt>
                <c:pt idx="6">
                  <c:v>13</c:v>
                </c:pt>
                <c:pt idx="7">
                  <c:v>2</c:v>
                </c:pt>
                <c:pt idx="8">
                  <c:v>6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BD-4D4E-AEDE-02FB9DF7F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9"/>
        <c:overlap val="-100"/>
        <c:axId val="242961464"/>
        <c:axId val="242961856"/>
      </c:barChart>
      <c:catAx>
        <c:axId val="2429614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uk-UA"/>
                  <a:t>%</a:t>
                </a:r>
              </a:p>
            </c:rich>
          </c:tx>
          <c:layout>
            <c:manualLayout>
              <c:xMode val="edge"/>
              <c:yMode val="edge"/>
              <c:x val="0.90281055555555545"/>
              <c:y val="0.8729604938271604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uk-UA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242961856"/>
        <c:crosses val="autoZero"/>
        <c:auto val="1"/>
        <c:lblAlgn val="ctr"/>
        <c:lblOffset val="100"/>
        <c:noMultiLvlLbl val="0"/>
      </c:catAx>
      <c:valAx>
        <c:axId val="242961856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242961464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  <c:userShapes r:id="rId3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123931623931624"/>
          <c:y val="3.0868055555555555E-2"/>
          <c:w val="0.76305128205128203"/>
          <c:h val="0.81742291666666667"/>
        </c:manualLayout>
      </c:layout>
      <c:scatterChart>
        <c:scatterStyle val="lineMarker"/>
        <c:varyColors val="0"/>
        <c:ser>
          <c:idx val="0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'6.7'!$D$5:$D$34</c:f>
              <c:numCache>
                <c:formatCode>0.00</c:formatCode>
                <c:ptCount val="30"/>
                <c:pt idx="0" formatCode="General">
                  <c:v>6.5000000000000002E-2</c:v>
                </c:pt>
                <c:pt idx="1">
                  <c:v>0.08</c:v>
                </c:pt>
                <c:pt idx="2">
                  <c:v>0.1</c:v>
                </c:pt>
                <c:pt idx="3">
                  <c:v>0.12</c:v>
                </c:pt>
                <c:pt idx="4">
                  <c:v>0.13</c:v>
                </c:pt>
                <c:pt idx="5">
                  <c:v>0.18</c:v>
                </c:pt>
                <c:pt idx="6">
                  <c:v>0.21</c:v>
                </c:pt>
                <c:pt idx="7">
                  <c:v>0.24</c:v>
                </c:pt>
                <c:pt idx="8">
                  <c:v>0.28999999999999998</c:v>
                </c:pt>
                <c:pt idx="9">
                  <c:v>0.34</c:v>
                </c:pt>
                <c:pt idx="10">
                  <c:v>0.38</c:v>
                </c:pt>
                <c:pt idx="11">
                  <c:v>0.14000000000000001</c:v>
                </c:pt>
                <c:pt idx="12">
                  <c:v>0.16</c:v>
                </c:pt>
                <c:pt idx="13">
                  <c:v>0.21</c:v>
                </c:pt>
                <c:pt idx="14">
                  <c:v>0.27</c:v>
                </c:pt>
                <c:pt idx="15">
                  <c:v>0.36</c:v>
                </c:pt>
                <c:pt idx="16">
                  <c:v>0.47</c:v>
                </c:pt>
                <c:pt idx="17">
                  <c:v>0.57999999999999996</c:v>
                </c:pt>
                <c:pt idx="18">
                  <c:v>0.23</c:v>
                </c:pt>
                <c:pt idx="19">
                  <c:v>0.33</c:v>
                </c:pt>
                <c:pt idx="20">
                  <c:v>0.41</c:v>
                </c:pt>
                <c:pt idx="21">
                  <c:v>0.22</c:v>
                </c:pt>
                <c:pt idx="22">
                  <c:v>0.28000000000000003</c:v>
                </c:pt>
                <c:pt idx="23">
                  <c:v>0.23</c:v>
                </c:pt>
                <c:pt idx="24">
                  <c:v>0.28999999999999998</c:v>
                </c:pt>
                <c:pt idx="25">
                  <c:v>0.35</c:v>
                </c:pt>
                <c:pt idx="26">
                  <c:v>0.41</c:v>
                </c:pt>
                <c:pt idx="27">
                  <c:v>0.35</c:v>
                </c:pt>
                <c:pt idx="28">
                  <c:v>0.41</c:v>
                </c:pt>
                <c:pt idx="29">
                  <c:v>0.47</c:v>
                </c:pt>
              </c:numCache>
            </c:numRef>
          </c:xVal>
          <c:yVal>
            <c:numRef>
              <c:f>'6.7'!$C$5:$C$34</c:f>
              <c:numCache>
                <c:formatCode>0.000</c:formatCode>
                <c:ptCount val="30"/>
                <c:pt idx="0">
                  <c:v>3.5486674737691487E-2</c:v>
                </c:pt>
                <c:pt idx="1">
                  <c:v>7.025342559883882E-2</c:v>
                </c:pt>
                <c:pt idx="2">
                  <c:v>0.11154903792869528</c:v>
                </c:pt>
                <c:pt idx="3">
                  <c:v>0.15683080658294576</c:v>
                </c:pt>
                <c:pt idx="4">
                  <c:v>0.2046166205756397</c:v>
                </c:pt>
                <c:pt idx="5">
                  <c:v>0.25404038450373412</c:v>
                </c:pt>
                <c:pt idx="6">
                  <c:v>0.30457963795241816</c:v>
                </c:pt>
                <c:pt idx="7">
                  <c:v>0.35590665822414036</c:v>
                </c:pt>
                <c:pt idx="8">
                  <c:v>0.40780785482414728</c:v>
                </c:pt>
                <c:pt idx="9">
                  <c:v>0.46013908117453772</c:v>
                </c:pt>
                <c:pt idx="10">
                  <c:v>0.51280000000000003</c:v>
                </c:pt>
                <c:pt idx="11">
                  <c:v>0.15683080658294576</c:v>
                </c:pt>
                <c:pt idx="12">
                  <c:v>0.2046166205756397</c:v>
                </c:pt>
                <c:pt idx="13">
                  <c:v>0.30457963795241816</c:v>
                </c:pt>
                <c:pt idx="14">
                  <c:v>0.40780785482414728</c:v>
                </c:pt>
                <c:pt idx="15">
                  <c:v>0.51280000000000003</c:v>
                </c:pt>
                <c:pt idx="16">
                  <c:v>0.61884303938598562</c:v>
                </c:pt>
                <c:pt idx="17">
                  <c:v>0.72555952933724321</c:v>
                </c:pt>
                <c:pt idx="18">
                  <c:v>0.30457963795241816</c:v>
                </c:pt>
                <c:pt idx="19">
                  <c:v>0.40780785482414728</c:v>
                </c:pt>
                <c:pt idx="20">
                  <c:v>0.51280000000000003</c:v>
                </c:pt>
                <c:pt idx="21">
                  <c:v>0.30457963795241816</c:v>
                </c:pt>
                <c:pt idx="22">
                  <c:v>0.40780785482414728</c:v>
                </c:pt>
                <c:pt idx="23">
                  <c:v>0.40780785482414728</c:v>
                </c:pt>
                <c:pt idx="24">
                  <c:v>0.51280000000000003</c:v>
                </c:pt>
                <c:pt idx="25">
                  <c:v>0.61884303938598562</c:v>
                </c:pt>
                <c:pt idx="26">
                  <c:v>0.72555952933724321</c:v>
                </c:pt>
                <c:pt idx="27">
                  <c:v>0.51280000000000003</c:v>
                </c:pt>
                <c:pt idx="28">
                  <c:v>0.61884303938598562</c:v>
                </c:pt>
                <c:pt idx="29">
                  <c:v>0.72555952933724321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34A-4F78-A981-4954839656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2962640"/>
        <c:axId val="242963032"/>
      </c:scatterChart>
      <c:valAx>
        <c:axId val="242962640"/>
        <c:scaling>
          <c:orientation val="minMax"/>
          <c:max val="0.8"/>
        </c:scaling>
        <c:delete val="0"/>
        <c:axPos val="b"/>
        <c:majorGridlines>
          <c:spPr>
            <a:ln w="6350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uk-UA" sz="1100" b="1"/>
                  <a:t>Дослідне значення </a:t>
                </a:r>
              </a:p>
            </c:rich>
          </c:tx>
          <c:layout>
            <c:manualLayout>
              <c:xMode val="edge"/>
              <c:yMode val="edge"/>
              <c:x val="0.57013159722222229"/>
              <c:y val="0.9329499999999999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uk-UA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242963032"/>
        <c:crosses val="autoZero"/>
        <c:crossBetween val="midCat"/>
        <c:majorUnit val="0.1"/>
      </c:valAx>
      <c:valAx>
        <c:axId val="24296303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uk-UA" sz="1100" b="1"/>
                  <a:t>Теоретичне значення </a:t>
                </a:r>
              </a:p>
            </c:rich>
          </c:tx>
          <c:layout>
            <c:manualLayout>
              <c:xMode val="edge"/>
              <c:yMode val="edge"/>
              <c:x val="2.9398148148148148E-3"/>
              <c:y val="4.0345293209876544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uk-UA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2429626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  <c:userShapes r:id="rId3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123931623931624"/>
          <c:y val="3.0868055555555555E-2"/>
          <c:w val="0.76305128205128203"/>
          <c:h val="0.81742291666666667"/>
        </c:manualLayout>
      </c:layout>
      <c:scatterChart>
        <c:scatterStyle val="lineMarker"/>
        <c:varyColors val="0"/>
        <c:ser>
          <c:idx val="0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'6.7'!$F$5:$F$34</c:f>
              <c:numCache>
                <c:formatCode>0.00</c:formatCode>
                <c:ptCount val="30"/>
                <c:pt idx="0" formatCode="General">
                  <c:v>7.3999999999999996E-2</c:v>
                </c:pt>
                <c:pt idx="1">
                  <c:v>0.1</c:v>
                </c:pt>
                <c:pt idx="2">
                  <c:v>0.13</c:v>
                </c:pt>
                <c:pt idx="3">
                  <c:v>0.16</c:v>
                </c:pt>
                <c:pt idx="4">
                  <c:v>0.18</c:v>
                </c:pt>
                <c:pt idx="5">
                  <c:v>0.27</c:v>
                </c:pt>
                <c:pt idx="6">
                  <c:v>0.3</c:v>
                </c:pt>
                <c:pt idx="7">
                  <c:v>0.36</c:v>
                </c:pt>
                <c:pt idx="8">
                  <c:v>0.44</c:v>
                </c:pt>
                <c:pt idx="9">
                  <c:v>0.51</c:v>
                </c:pt>
                <c:pt idx="10">
                  <c:v>0.55000000000000004</c:v>
                </c:pt>
                <c:pt idx="11">
                  <c:v>0.23</c:v>
                </c:pt>
                <c:pt idx="12">
                  <c:v>0.26</c:v>
                </c:pt>
                <c:pt idx="13">
                  <c:v>0.31</c:v>
                </c:pt>
                <c:pt idx="14">
                  <c:v>0.41</c:v>
                </c:pt>
                <c:pt idx="15">
                  <c:v>0.52</c:v>
                </c:pt>
                <c:pt idx="16">
                  <c:v>0.65</c:v>
                </c:pt>
                <c:pt idx="17">
                  <c:v>0.79</c:v>
                </c:pt>
                <c:pt idx="18">
                  <c:v>0.35</c:v>
                </c:pt>
                <c:pt idx="19">
                  <c:v>0.47</c:v>
                </c:pt>
                <c:pt idx="20">
                  <c:v>0.57999999999999996</c:v>
                </c:pt>
                <c:pt idx="21">
                  <c:v>0.35</c:v>
                </c:pt>
                <c:pt idx="22">
                  <c:v>0.41</c:v>
                </c:pt>
                <c:pt idx="23">
                  <c:v>0.37</c:v>
                </c:pt>
                <c:pt idx="24">
                  <c:v>0.44</c:v>
                </c:pt>
                <c:pt idx="25">
                  <c:v>0.52</c:v>
                </c:pt>
                <c:pt idx="26">
                  <c:v>0.63</c:v>
                </c:pt>
                <c:pt idx="27">
                  <c:v>0.52</c:v>
                </c:pt>
                <c:pt idx="28">
                  <c:v>0.57999999999999996</c:v>
                </c:pt>
                <c:pt idx="29">
                  <c:v>0.64</c:v>
                </c:pt>
              </c:numCache>
            </c:numRef>
          </c:xVal>
          <c:yVal>
            <c:numRef>
              <c:f>'6.7'!$C$5:$C$34</c:f>
              <c:numCache>
                <c:formatCode>0.000</c:formatCode>
                <c:ptCount val="30"/>
                <c:pt idx="0">
                  <c:v>3.5486674737691487E-2</c:v>
                </c:pt>
                <c:pt idx="1">
                  <c:v>7.025342559883882E-2</c:v>
                </c:pt>
                <c:pt idx="2">
                  <c:v>0.11154903792869528</c:v>
                </c:pt>
                <c:pt idx="3">
                  <c:v>0.15683080658294576</c:v>
                </c:pt>
                <c:pt idx="4">
                  <c:v>0.2046166205756397</c:v>
                </c:pt>
                <c:pt idx="5">
                  <c:v>0.25404038450373412</c:v>
                </c:pt>
                <c:pt idx="6">
                  <c:v>0.30457963795241816</c:v>
                </c:pt>
                <c:pt idx="7">
                  <c:v>0.35590665822414036</c:v>
                </c:pt>
                <c:pt idx="8">
                  <c:v>0.40780785482414728</c:v>
                </c:pt>
                <c:pt idx="9">
                  <c:v>0.46013908117453772</c:v>
                </c:pt>
                <c:pt idx="10">
                  <c:v>0.51280000000000003</c:v>
                </c:pt>
                <c:pt idx="11">
                  <c:v>0.15683080658294576</c:v>
                </c:pt>
                <c:pt idx="12">
                  <c:v>0.2046166205756397</c:v>
                </c:pt>
                <c:pt idx="13">
                  <c:v>0.30457963795241816</c:v>
                </c:pt>
                <c:pt idx="14">
                  <c:v>0.40780785482414728</c:v>
                </c:pt>
                <c:pt idx="15">
                  <c:v>0.51280000000000003</c:v>
                </c:pt>
                <c:pt idx="16">
                  <c:v>0.61884303938598562</c:v>
                </c:pt>
                <c:pt idx="17">
                  <c:v>0.72555952933724321</c:v>
                </c:pt>
                <c:pt idx="18">
                  <c:v>0.30457963795241816</c:v>
                </c:pt>
                <c:pt idx="19">
                  <c:v>0.40780785482414728</c:v>
                </c:pt>
                <c:pt idx="20">
                  <c:v>0.51280000000000003</c:v>
                </c:pt>
                <c:pt idx="21">
                  <c:v>0.30457963795241816</c:v>
                </c:pt>
                <c:pt idx="22">
                  <c:v>0.40780785482414728</c:v>
                </c:pt>
                <c:pt idx="23">
                  <c:v>0.40780785482414728</c:v>
                </c:pt>
                <c:pt idx="24">
                  <c:v>0.51280000000000003</c:v>
                </c:pt>
                <c:pt idx="25">
                  <c:v>0.61884303938598562</c:v>
                </c:pt>
                <c:pt idx="26">
                  <c:v>0.72555952933724321</c:v>
                </c:pt>
                <c:pt idx="27">
                  <c:v>0.51280000000000003</c:v>
                </c:pt>
                <c:pt idx="28">
                  <c:v>0.61884303938598562</c:v>
                </c:pt>
                <c:pt idx="29">
                  <c:v>0.72555952933724321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7CF-43E8-AF75-C7EBE56885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2963816"/>
        <c:axId val="242964208"/>
      </c:scatterChart>
      <c:valAx>
        <c:axId val="242963816"/>
        <c:scaling>
          <c:orientation val="minMax"/>
          <c:max val="0.8"/>
        </c:scaling>
        <c:delete val="0"/>
        <c:axPos val="b"/>
        <c:majorGridlines>
          <c:spPr>
            <a:ln w="6350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uk-UA" sz="1100" b="1"/>
                  <a:t>Дослідне значення </a:t>
                </a:r>
              </a:p>
            </c:rich>
          </c:tx>
          <c:layout>
            <c:manualLayout>
              <c:xMode val="edge"/>
              <c:yMode val="edge"/>
              <c:x val="0.57013159722222229"/>
              <c:y val="0.9329499999999999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uk-UA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242964208"/>
        <c:crosses val="autoZero"/>
        <c:crossBetween val="midCat"/>
        <c:majorUnit val="0.1"/>
      </c:valAx>
      <c:valAx>
        <c:axId val="24296420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uk-UA" sz="1100" b="1"/>
                  <a:t>Теоретичне значення </a:t>
                </a:r>
              </a:p>
            </c:rich>
          </c:tx>
          <c:layout>
            <c:manualLayout>
              <c:xMode val="edge"/>
              <c:yMode val="edge"/>
              <c:x val="2.9398148148148148E-3"/>
              <c:y val="4.03451388888888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uk-UA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24296381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467366025449355E-2"/>
          <c:y val="4.8390417628891798E-2"/>
          <c:w val="0.88452419515598524"/>
          <c:h val="0.792165277777777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85000"/>
              </a:schemeClr>
            </a:solidFill>
            <a:ln w="12700">
              <a:solidFill>
                <a:schemeClr val="tx1"/>
              </a:solidFill>
            </a:ln>
          </c:spPr>
          <c:invertIfNegative val="0"/>
          <c:cat>
            <c:numRef>
              <c:f>'6.1'!$D$4:$D$11</c:f>
              <c:numCache>
                <c:formatCode>General</c:formatCode>
                <c:ptCount val="8"/>
                <c:pt idx="0">
                  <c:v>15</c:v>
                </c:pt>
                <c:pt idx="1">
                  <c:v>15.5</c:v>
                </c:pt>
                <c:pt idx="2">
                  <c:v>16</c:v>
                </c:pt>
                <c:pt idx="3">
                  <c:v>16.5</c:v>
                </c:pt>
                <c:pt idx="4">
                  <c:v>17</c:v>
                </c:pt>
                <c:pt idx="5">
                  <c:v>17.5</c:v>
                </c:pt>
                <c:pt idx="6">
                  <c:v>18</c:v>
                </c:pt>
                <c:pt idx="7">
                  <c:v>18.5</c:v>
                </c:pt>
              </c:numCache>
            </c:numRef>
          </c:cat>
          <c:val>
            <c:numRef>
              <c:f>'6.1'!$G$4:$G$11</c:f>
              <c:numCache>
                <c:formatCode>0.0000</c:formatCode>
                <c:ptCount val="8"/>
                <c:pt idx="0">
                  <c:v>0</c:v>
                </c:pt>
                <c:pt idx="1">
                  <c:v>6.25E-2</c:v>
                </c:pt>
                <c:pt idx="2">
                  <c:v>0.25</c:v>
                </c:pt>
                <c:pt idx="3">
                  <c:v>0.6875</c:v>
                </c:pt>
                <c:pt idx="4">
                  <c:v>0.5625</c:v>
                </c:pt>
                <c:pt idx="5">
                  <c:v>0.3125</c:v>
                </c:pt>
                <c:pt idx="6">
                  <c:v>0.125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E3-445B-891E-74FFFAF59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242644424"/>
        <c:axId val="242644816"/>
      </c:barChart>
      <c:lineChart>
        <c:grouping val="standard"/>
        <c:varyColors val="0"/>
        <c:ser>
          <c:idx val="1"/>
          <c:order val="1"/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'6.1'!$D$4:$D$11</c:f>
              <c:numCache>
                <c:formatCode>General</c:formatCode>
                <c:ptCount val="8"/>
                <c:pt idx="0">
                  <c:v>15</c:v>
                </c:pt>
                <c:pt idx="1">
                  <c:v>15.5</c:v>
                </c:pt>
                <c:pt idx="2">
                  <c:v>16</c:v>
                </c:pt>
                <c:pt idx="3">
                  <c:v>16.5</c:v>
                </c:pt>
                <c:pt idx="4">
                  <c:v>17</c:v>
                </c:pt>
                <c:pt idx="5">
                  <c:v>17.5</c:v>
                </c:pt>
                <c:pt idx="6">
                  <c:v>18</c:v>
                </c:pt>
                <c:pt idx="7">
                  <c:v>18.5</c:v>
                </c:pt>
              </c:numCache>
            </c:numRef>
          </c:cat>
          <c:val>
            <c:numRef>
              <c:f>'6.1'!$H$4:$H$11</c:f>
              <c:numCache>
                <c:formatCode>0.0000</c:formatCode>
                <c:ptCount val="8"/>
                <c:pt idx="0">
                  <c:v>2.3037369627408838E-3</c:v>
                </c:pt>
                <c:pt idx="1">
                  <c:v>3.5080606853998747E-2</c:v>
                </c:pt>
                <c:pt idx="2">
                  <c:v>0.2257087291992515</c:v>
                </c:pt>
                <c:pt idx="3">
                  <c:v>0.61358772742435086</c:v>
                </c:pt>
                <c:pt idx="4">
                  <c:v>0.70477748978663168</c:v>
                </c:pt>
                <c:pt idx="5">
                  <c:v>0.34203806069710857</c:v>
                </c:pt>
                <c:pt idx="6">
                  <c:v>7.0136468930304841E-2</c:v>
                </c:pt>
                <c:pt idx="7">
                  <c:v>6.0765966523706793E-3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10E3-445B-891E-74FFFAF59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2644424"/>
        <c:axId val="242644816"/>
      </c:lineChart>
      <c:catAx>
        <c:axId val="2426444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uk-UA" sz="1200" b="1" i="0" baseline="0">
                    <a:effectLst/>
                  </a:rPr>
                  <a:t>Середня густина в кг/м</a:t>
                </a:r>
                <a:r>
                  <a:rPr lang="uk-UA" sz="1200" b="1" i="0" baseline="30000">
                    <a:effectLst/>
                  </a:rPr>
                  <a:t>3</a:t>
                </a:r>
                <a:endParaRPr lang="uk-UA" sz="1200" baseline="30000">
                  <a:effectLst/>
                </a:endParaRPr>
              </a:p>
            </c:rich>
          </c:tx>
          <c:layout>
            <c:manualLayout>
              <c:xMode val="edge"/>
              <c:yMode val="edge"/>
              <c:x val="0.57766350210970463"/>
              <c:y val="0.9194825470137787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100"/>
            </a:pPr>
            <a:endParaRPr lang="uk-UA"/>
          </a:p>
        </c:txPr>
        <c:crossAx val="242644816"/>
        <c:crossesAt val="0"/>
        <c:auto val="1"/>
        <c:lblAlgn val="ctr"/>
        <c:lblOffset val="100"/>
        <c:noMultiLvlLbl val="0"/>
      </c:catAx>
      <c:valAx>
        <c:axId val="242644816"/>
        <c:scaling>
          <c:orientation val="minMax"/>
          <c:max val="0.8"/>
          <c:min val="0"/>
        </c:scaling>
        <c:delete val="0"/>
        <c:axPos val="l"/>
        <c:majorGridlines>
          <c:spPr>
            <a:ln w="6350">
              <a:solidFill>
                <a:schemeClr val="tx1"/>
              </a:solidFill>
            </a:ln>
          </c:spPr>
        </c:majorGridlines>
        <c:title>
          <c:tx>
            <c:rich>
              <a:bodyPr rot="0" vert="horz"/>
              <a:lstStyle/>
              <a:p>
                <a:pPr>
                  <a:defRPr sz="2000"/>
                </a:pPr>
                <a:r>
                  <a:rPr lang="en-US" sz="2000" i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f(x)</a:t>
                </a:r>
              </a:p>
            </c:rich>
          </c:tx>
          <c:layout>
            <c:manualLayout>
              <c:xMode val="edge"/>
              <c:yMode val="edge"/>
              <c:x val="0.10304657981696404"/>
              <c:y val="2.8831946372259932E-2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100"/>
            </a:pPr>
            <a:endParaRPr lang="uk-UA"/>
          </a:p>
        </c:txPr>
        <c:crossAx val="24264442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141666666666665"/>
          <c:y val="6.025726495726496E-2"/>
          <c:w val="0.79977777777777792"/>
          <c:h val="0.78672291666666672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chemeClr val="bg1">
                <a:lumMod val="85000"/>
              </a:schemeClr>
            </a:solidFill>
            <a:ln w="6350">
              <a:solidFill>
                <a:schemeClr val="tx1"/>
              </a:solidFill>
            </a:ln>
            <a:effectLst/>
          </c:spPr>
          <c:invertIfNegative val="0"/>
          <c:cat>
            <c:numRef>
              <c:f>'6.2'!$D$15:$D$29</c:f>
              <c:numCache>
                <c:formatCode>General</c:formatCode>
                <c:ptCount val="15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  <c:pt idx="9">
                  <c:v>1000</c:v>
                </c:pt>
                <c:pt idx="10">
                  <c:v>1100</c:v>
                </c:pt>
                <c:pt idx="11">
                  <c:v>1200</c:v>
                </c:pt>
                <c:pt idx="12">
                  <c:v>1300</c:v>
                </c:pt>
                <c:pt idx="13">
                  <c:v>1400</c:v>
                </c:pt>
                <c:pt idx="14">
                  <c:v>1500</c:v>
                </c:pt>
              </c:numCache>
            </c:numRef>
          </c:cat>
          <c:val>
            <c:numRef>
              <c:f>'6.2'!$G$15:$G$29</c:f>
              <c:numCache>
                <c:formatCode>0.00000</c:formatCode>
                <c:ptCount val="15"/>
                <c:pt idx="0">
                  <c:v>8.9552238805970139E-4</c:v>
                </c:pt>
                <c:pt idx="1">
                  <c:v>1.7910447761194028E-3</c:v>
                </c:pt>
                <c:pt idx="2">
                  <c:v>1.4925373134328356E-3</c:v>
                </c:pt>
                <c:pt idx="3">
                  <c:v>1.7910447761194028E-3</c:v>
                </c:pt>
                <c:pt idx="4">
                  <c:v>1.1940298507462687E-3</c:v>
                </c:pt>
                <c:pt idx="5">
                  <c:v>5.9701492537313433E-4</c:v>
                </c:pt>
                <c:pt idx="6">
                  <c:v>5.9701492537313433E-4</c:v>
                </c:pt>
                <c:pt idx="7">
                  <c:v>7.4626865671641781E-4</c:v>
                </c:pt>
                <c:pt idx="8">
                  <c:v>2.9850746268656717E-4</c:v>
                </c:pt>
                <c:pt idx="9">
                  <c:v>4.477611940298507E-4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1.4925373134328358E-4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CC-4AD0-87F6-D97F8D684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100"/>
        <c:axId val="242519240"/>
        <c:axId val="242519632"/>
      </c:barChart>
      <c:lineChart>
        <c:grouping val="standard"/>
        <c:varyColors val="0"/>
        <c:ser>
          <c:idx val="2"/>
          <c:order val="1"/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'6.2'!$D$15:$D$29</c:f>
              <c:numCache>
                <c:formatCode>General</c:formatCode>
                <c:ptCount val="15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700</c:v>
                </c:pt>
                <c:pt idx="7">
                  <c:v>800</c:v>
                </c:pt>
                <c:pt idx="8">
                  <c:v>900</c:v>
                </c:pt>
                <c:pt idx="9">
                  <c:v>1000</c:v>
                </c:pt>
                <c:pt idx="10">
                  <c:v>1100</c:v>
                </c:pt>
                <c:pt idx="11">
                  <c:v>1200</c:v>
                </c:pt>
                <c:pt idx="12">
                  <c:v>1300</c:v>
                </c:pt>
                <c:pt idx="13">
                  <c:v>1400</c:v>
                </c:pt>
                <c:pt idx="14">
                  <c:v>1500</c:v>
                </c:pt>
              </c:numCache>
            </c:numRef>
          </c:cat>
          <c:val>
            <c:numRef>
              <c:f>'6.2'!$H$15:$H$29</c:f>
              <c:numCache>
                <c:formatCode>0.00000</c:formatCode>
                <c:ptCount val="15"/>
                <c:pt idx="0">
                  <c:v>7.751412654698164E-4</c:v>
                </c:pt>
                <c:pt idx="1">
                  <c:v>1.3048466719776464E-3</c:v>
                </c:pt>
                <c:pt idx="2">
                  <c:v>1.5729016003630438E-3</c:v>
                </c:pt>
                <c:pt idx="3">
                  <c:v>1.5263637311572562E-3</c:v>
                </c:pt>
                <c:pt idx="4">
                  <c:v>1.2866225134395457E-3</c:v>
                </c:pt>
                <c:pt idx="5">
                  <c:v>9.8974939189197921E-4</c:v>
                </c:pt>
                <c:pt idx="6">
                  <c:v>7.1747393675546404E-4</c:v>
                </c:pt>
                <c:pt idx="7">
                  <c:v>5.0042282227959981E-4</c:v>
                </c:pt>
                <c:pt idx="8">
                  <c:v>3.4040100169950175E-4</c:v>
                </c:pt>
                <c:pt idx="9">
                  <c:v>2.2781428158775042E-4</c:v>
                </c:pt>
                <c:pt idx="10">
                  <c:v>1.508634428148913E-4</c:v>
                </c:pt>
                <c:pt idx="11">
                  <c:v>9.9222071394434669E-5</c:v>
                </c:pt>
                <c:pt idx="12">
                  <c:v>6.4967799835251067E-5</c:v>
                </c:pt>
                <c:pt idx="13">
                  <c:v>4.2416208234660731E-5</c:v>
                </c:pt>
                <c:pt idx="14">
                  <c:v>2.7640746476746474E-5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9CC-4AD0-87F6-D97F8D684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2519240"/>
        <c:axId val="242519632"/>
      </c:lineChart>
      <c:catAx>
        <c:axId val="2425192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uk-UA" b="1"/>
                  <a:t>Вага снігового покриву,  Па</a:t>
                </a:r>
              </a:p>
            </c:rich>
          </c:tx>
          <c:layout>
            <c:manualLayout>
              <c:xMode val="edge"/>
              <c:yMode val="edge"/>
              <c:x val="0.60431504629629618"/>
              <c:y val="0.9262965277777778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uk-UA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242519632"/>
        <c:crosses val="autoZero"/>
        <c:auto val="1"/>
        <c:lblAlgn val="ctr"/>
        <c:lblOffset val="100"/>
        <c:tickLblSkip val="2"/>
        <c:noMultiLvlLbl val="0"/>
      </c:catAx>
      <c:valAx>
        <c:axId val="24251963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uk-UA" b="1"/>
                  <a:t>Густина розподілу Гумбеля</a:t>
                </a:r>
              </a:p>
            </c:rich>
          </c:tx>
          <c:layout>
            <c:manualLayout>
              <c:xMode val="edge"/>
              <c:yMode val="edge"/>
              <c:x val="2.0277777777777777E-3"/>
              <c:y val="3.5222222222222204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uk-UA"/>
            </a:p>
          </c:txPr>
        </c:title>
        <c:numFmt formatCode="#,##0.0000" sourceLinked="0"/>
        <c:majorTickMark val="none"/>
        <c:minorTickMark val="none"/>
        <c:tickLblPos val="nextTo"/>
        <c:spPr>
          <a:solidFill>
            <a:schemeClr val="bg1"/>
          </a:solidFill>
          <a:ln>
            <a:solidFill>
              <a:schemeClr val="tx1">
                <a:alpha val="89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242519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163032407407407"/>
          <c:y val="3.7991452991452991E-2"/>
          <c:w val="0.85425856481481477"/>
          <c:h val="0.800391319444444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85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numRef>
              <c:f>'6.3'!$C$4:$C$13</c:f>
              <c:numCache>
                <c:formatCode>General</c:formatCode>
                <c:ptCount val="10"/>
                <c:pt idx="0">
                  <c:v>0.5</c:v>
                </c:pt>
                <c:pt idx="1">
                  <c:v>2.5</c:v>
                </c:pt>
                <c:pt idx="2">
                  <c:v>4.5</c:v>
                </c:pt>
                <c:pt idx="3">
                  <c:v>6.5</c:v>
                </c:pt>
                <c:pt idx="4">
                  <c:v>8.5</c:v>
                </c:pt>
                <c:pt idx="5">
                  <c:v>10.5</c:v>
                </c:pt>
                <c:pt idx="6">
                  <c:v>12.5</c:v>
                </c:pt>
                <c:pt idx="7">
                  <c:v>14.5</c:v>
                </c:pt>
                <c:pt idx="8">
                  <c:v>16.5</c:v>
                </c:pt>
                <c:pt idx="9">
                  <c:v>19</c:v>
                </c:pt>
              </c:numCache>
            </c:numRef>
          </c:cat>
          <c:val>
            <c:numRef>
              <c:f>'6.3'!$F$4:$F$13</c:f>
              <c:numCache>
                <c:formatCode>0.00000</c:formatCode>
                <c:ptCount val="10"/>
                <c:pt idx="0">
                  <c:v>8.7296809151113777E-2</c:v>
                </c:pt>
                <c:pt idx="1">
                  <c:v>0.13935714763529333</c:v>
                </c:pt>
                <c:pt idx="2">
                  <c:v>0.19642618235333467</c:v>
                </c:pt>
                <c:pt idx="3">
                  <c:v>6.7788815305371591E-2</c:v>
                </c:pt>
                <c:pt idx="4">
                  <c:v>2.4073516623185496E-2</c:v>
                </c:pt>
                <c:pt idx="5">
                  <c:v>5.2010167904207637E-3</c:v>
                </c:pt>
                <c:pt idx="6">
                  <c:v>1.3546056592414208E-3</c:v>
                </c:pt>
                <c:pt idx="7">
                  <c:v>2.5085289985952238E-4</c:v>
                </c:pt>
                <c:pt idx="8">
                  <c:v>6.6894106629205967E-5</c:v>
                </c:pt>
                <c:pt idx="9">
                  <c:v>5.5745088857671642E-6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5D-4DB3-80A5-1EE5BE49A0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100"/>
        <c:axId val="242646776"/>
        <c:axId val="242520416"/>
      </c:barChart>
      <c:lineChart>
        <c:grouping val="standard"/>
        <c:varyColors val="0"/>
        <c:ser>
          <c:idx val="1"/>
          <c:order val="1"/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'6.3'!$C$4:$C$13</c:f>
              <c:numCache>
                <c:formatCode>General</c:formatCode>
                <c:ptCount val="10"/>
                <c:pt idx="0">
                  <c:v>0.5</c:v>
                </c:pt>
                <c:pt idx="1">
                  <c:v>2.5</c:v>
                </c:pt>
                <c:pt idx="2">
                  <c:v>4.5</c:v>
                </c:pt>
                <c:pt idx="3">
                  <c:v>6.5</c:v>
                </c:pt>
                <c:pt idx="4">
                  <c:v>8.5</c:v>
                </c:pt>
                <c:pt idx="5">
                  <c:v>10.5</c:v>
                </c:pt>
                <c:pt idx="6">
                  <c:v>12.5</c:v>
                </c:pt>
                <c:pt idx="7">
                  <c:v>14.5</c:v>
                </c:pt>
                <c:pt idx="8">
                  <c:v>16.5</c:v>
                </c:pt>
                <c:pt idx="9">
                  <c:v>19</c:v>
                </c:pt>
              </c:numCache>
            </c:numRef>
          </c:cat>
          <c:val>
            <c:numRef>
              <c:f>'6.3'!$I$4:$I$13</c:f>
              <c:numCache>
                <c:formatCode>0.000000</c:formatCode>
                <c:ptCount val="10"/>
                <c:pt idx="0">
                  <c:v>6.0971220620925956E-2</c:v>
                </c:pt>
                <c:pt idx="1">
                  <c:v>0.17982820747099162</c:v>
                </c:pt>
                <c:pt idx="2">
                  <c:v>0.15292940453399995</c:v>
                </c:pt>
                <c:pt idx="3">
                  <c:v>7.7511203179853883E-2</c:v>
                </c:pt>
                <c:pt idx="4">
                  <c:v>2.6414061307690601E-2</c:v>
                </c:pt>
                <c:pt idx="5">
                  <c:v>6.3479672672863393E-3</c:v>
                </c:pt>
                <c:pt idx="6">
                  <c:v>1.1037266600520458E-3</c:v>
                </c:pt>
                <c:pt idx="7">
                  <c:v>1.41098007940193E-4</c:v>
                </c:pt>
                <c:pt idx="8">
                  <c:v>1.3412720803153101E-5</c:v>
                </c:pt>
                <c:pt idx="9">
                  <c:v>4.7272901496997835E-7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15D-4DB3-80A5-1EE5BE49A0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2646776"/>
        <c:axId val="242520416"/>
      </c:lineChart>
      <c:catAx>
        <c:axId val="2426467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uk-UA" b="1"/>
                  <a:t>Швидкість вітру,  м/с</a:t>
                </a:r>
              </a:p>
            </c:rich>
          </c:tx>
          <c:layout>
            <c:manualLayout>
              <c:xMode val="edge"/>
              <c:yMode val="edge"/>
              <c:x val="0.70272222222222225"/>
              <c:y val="0.9307062499999999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uk-UA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242520416"/>
        <c:crossesAt val="0"/>
        <c:auto val="1"/>
        <c:lblAlgn val="ctr"/>
        <c:lblOffset val="100"/>
        <c:noMultiLvlLbl val="0"/>
      </c:catAx>
      <c:valAx>
        <c:axId val="242520416"/>
        <c:scaling>
          <c:orientation val="minMax"/>
          <c:max val="0.2"/>
          <c:min val="0"/>
        </c:scaling>
        <c:delete val="0"/>
        <c:axPos val="l"/>
        <c:majorGridlines>
          <c:spPr>
            <a:ln w="6350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uk-UA" b="1"/>
                  <a:t>Густина розподілу Вейбулла</a:t>
                </a:r>
              </a:p>
            </c:rich>
          </c:tx>
          <c:layout>
            <c:manualLayout>
              <c:xMode val="edge"/>
              <c:yMode val="edge"/>
              <c:x val="5.8796296296296277E-4"/>
              <c:y val="3.9444444444444449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uk-UA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2426467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428373015873019E-2"/>
          <c:y val="2.6910493827160493E-2"/>
          <c:w val="0.88175706214689265"/>
          <c:h val="0.81662534722222224"/>
        </c:manualLayout>
      </c:layout>
      <c:scatterChart>
        <c:scatterStyle val="lineMarker"/>
        <c:varyColors val="0"/>
        <c:ser>
          <c:idx val="0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2540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forward val="100"/>
            <c:backward val="100"/>
            <c:dispRSqr val="0"/>
            <c:dispEq val="1"/>
            <c:trendlineLbl>
              <c:layout>
                <c:manualLayout>
                  <c:x val="5.4178907721280603E-2"/>
                  <c:y val="0.35601638176638178"/>
                </c:manualLayout>
              </c:layout>
              <c:numFmt formatCode="#,##0.00000" sourceLinked="0"/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uk-UA"/>
                </a:p>
              </c:txPr>
            </c:trendlineLbl>
          </c:trendline>
          <c:xVal>
            <c:numRef>
              <c:f>'6.4'!$B$5:$B$34</c:f>
              <c:numCache>
                <c:formatCode>General</c:formatCode>
                <c:ptCount val="30"/>
                <c:pt idx="0">
                  <c:v>200</c:v>
                </c:pt>
                <c:pt idx="1">
                  <c:v>300</c:v>
                </c:pt>
                <c:pt idx="2">
                  <c:v>400</c:v>
                </c:pt>
                <c:pt idx="3">
                  <c:v>500</c:v>
                </c:pt>
                <c:pt idx="4">
                  <c:v>600</c:v>
                </c:pt>
                <c:pt idx="5">
                  <c:v>700</c:v>
                </c:pt>
                <c:pt idx="6">
                  <c:v>800</c:v>
                </c:pt>
                <c:pt idx="7">
                  <c:v>900</c:v>
                </c:pt>
                <c:pt idx="8">
                  <c:v>1000</c:v>
                </c:pt>
                <c:pt idx="9">
                  <c:v>1100</c:v>
                </c:pt>
                <c:pt idx="10">
                  <c:v>1200</c:v>
                </c:pt>
                <c:pt idx="11">
                  <c:v>500</c:v>
                </c:pt>
                <c:pt idx="12">
                  <c:v>600</c:v>
                </c:pt>
                <c:pt idx="13">
                  <c:v>800</c:v>
                </c:pt>
                <c:pt idx="14">
                  <c:v>1000</c:v>
                </c:pt>
                <c:pt idx="15">
                  <c:v>1200</c:v>
                </c:pt>
                <c:pt idx="16">
                  <c:v>1400</c:v>
                </c:pt>
                <c:pt idx="17">
                  <c:v>1600</c:v>
                </c:pt>
                <c:pt idx="18">
                  <c:v>800</c:v>
                </c:pt>
                <c:pt idx="19">
                  <c:v>1000</c:v>
                </c:pt>
                <c:pt idx="20">
                  <c:v>1200</c:v>
                </c:pt>
                <c:pt idx="21">
                  <c:v>800</c:v>
                </c:pt>
                <c:pt idx="22">
                  <c:v>1000</c:v>
                </c:pt>
                <c:pt idx="23">
                  <c:v>1000</c:v>
                </c:pt>
                <c:pt idx="24">
                  <c:v>1200</c:v>
                </c:pt>
                <c:pt idx="25">
                  <c:v>1400</c:v>
                </c:pt>
                <c:pt idx="26">
                  <c:v>1600</c:v>
                </c:pt>
                <c:pt idx="27">
                  <c:v>1200</c:v>
                </c:pt>
                <c:pt idx="28">
                  <c:v>1400</c:v>
                </c:pt>
                <c:pt idx="29">
                  <c:v>1600</c:v>
                </c:pt>
              </c:numCache>
            </c:numRef>
          </c:xVal>
          <c:yVal>
            <c:numRef>
              <c:f>'6.4'!$C$5:$C$34</c:f>
              <c:numCache>
                <c:formatCode>0.00</c:formatCode>
                <c:ptCount val="30"/>
                <c:pt idx="0" formatCode="General">
                  <c:v>6.5000000000000002E-2</c:v>
                </c:pt>
                <c:pt idx="1">
                  <c:v>0.08</c:v>
                </c:pt>
                <c:pt idx="2">
                  <c:v>0.1</c:v>
                </c:pt>
                <c:pt idx="3">
                  <c:v>0.12</c:v>
                </c:pt>
                <c:pt idx="4">
                  <c:v>0.13</c:v>
                </c:pt>
                <c:pt idx="5">
                  <c:v>0.18</c:v>
                </c:pt>
                <c:pt idx="6">
                  <c:v>0.21</c:v>
                </c:pt>
                <c:pt idx="7">
                  <c:v>0.24</c:v>
                </c:pt>
                <c:pt idx="8">
                  <c:v>0.28999999999999998</c:v>
                </c:pt>
                <c:pt idx="9">
                  <c:v>0.34</c:v>
                </c:pt>
                <c:pt idx="10">
                  <c:v>0.38</c:v>
                </c:pt>
                <c:pt idx="11">
                  <c:v>0.14000000000000001</c:v>
                </c:pt>
                <c:pt idx="12">
                  <c:v>0.16</c:v>
                </c:pt>
                <c:pt idx="13">
                  <c:v>0.21</c:v>
                </c:pt>
                <c:pt idx="14">
                  <c:v>0.27</c:v>
                </c:pt>
                <c:pt idx="15">
                  <c:v>0.36</c:v>
                </c:pt>
                <c:pt idx="16">
                  <c:v>0.47</c:v>
                </c:pt>
                <c:pt idx="17">
                  <c:v>0.57999999999999996</c:v>
                </c:pt>
                <c:pt idx="18">
                  <c:v>0.23</c:v>
                </c:pt>
                <c:pt idx="19">
                  <c:v>0.33</c:v>
                </c:pt>
                <c:pt idx="20">
                  <c:v>0.41</c:v>
                </c:pt>
                <c:pt idx="21">
                  <c:v>0.22</c:v>
                </c:pt>
                <c:pt idx="22">
                  <c:v>0.28000000000000003</c:v>
                </c:pt>
                <c:pt idx="23">
                  <c:v>0.23</c:v>
                </c:pt>
                <c:pt idx="24">
                  <c:v>0.28999999999999998</c:v>
                </c:pt>
                <c:pt idx="25">
                  <c:v>0.35</c:v>
                </c:pt>
                <c:pt idx="26">
                  <c:v>0.41</c:v>
                </c:pt>
                <c:pt idx="27">
                  <c:v>0.35</c:v>
                </c:pt>
                <c:pt idx="28">
                  <c:v>0.41</c:v>
                </c:pt>
                <c:pt idx="29">
                  <c:v>0.47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848-48B8-BE2D-7AEF8A513203}"/>
            </c:ext>
          </c:extLst>
        </c:ser>
        <c:ser>
          <c:idx val="1"/>
          <c:order val="1"/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'6.4'!$B$5:$B$34</c:f>
              <c:numCache>
                <c:formatCode>General</c:formatCode>
                <c:ptCount val="30"/>
                <c:pt idx="0">
                  <c:v>200</c:v>
                </c:pt>
                <c:pt idx="1">
                  <c:v>300</c:v>
                </c:pt>
                <c:pt idx="2">
                  <c:v>400</c:v>
                </c:pt>
                <c:pt idx="3">
                  <c:v>500</c:v>
                </c:pt>
                <c:pt idx="4">
                  <c:v>600</c:v>
                </c:pt>
                <c:pt idx="5">
                  <c:v>700</c:v>
                </c:pt>
                <c:pt idx="6">
                  <c:v>800</c:v>
                </c:pt>
                <c:pt idx="7">
                  <c:v>900</c:v>
                </c:pt>
                <c:pt idx="8">
                  <c:v>1000</c:v>
                </c:pt>
                <c:pt idx="9">
                  <c:v>1100</c:v>
                </c:pt>
                <c:pt idx="10">
                  <c:v>1200</c:v>
                </c:pt>
                <c:pt idx="11">
                  <c:v>500</c:v>
                </c:pt>
                <c:pt idx="12">
                  <c:v>600</c:v>
                </c:pt>
                <c:pt idx="13">
                  <c:v>800</c:v>
                </c:pt>
                <c:pt idx="14">
                  <c:v>1000</c:v>
                </c:pt>
                <c:pt idx="15">
                  <c:v>1200</c:v>
                </c:pt>
                <c:pt idx="16">
                  <c:v>1400</c:v>
                </c:pt>
                <c:pt idx="17">
                  <c:v>1600</c:v>
                </c:pt>
                <c:pt idx="18">
                  <c:v>800</c:v>
                </c:pt>
                <c:pt idx="19">
                  <c:v>1000</c:v>
                </c:pt>
                <c:pt idx="20">
                  <c:v>1200</c:v>
                </c:pt>
                <c:pt idx="21">
                  <c:v>800</c:v>
                </c:pt>
                <c:pt idx="22">
                  <c:v>1000</c:v>
                </c:pt>
                <c:pt idx="23">
                  <c:v>1000</c:v>
                </c:pt>
                <c:pt idx="24">
                  <c:v>1200</c:v>
                </c:pt>
                <c:pt idx="25">
                  <c:v>1400</c:v>
                </c:pt>
                <c:pt idx="26">
                  <c:v>1600</c:v>
                </c:pt>
                <c:pt idx="27">
                  <c:v>1200</c:v>
                </c:pt>
                <c:pt idx="28">
                  <c:v>1400</c:v>
                </c:pt>
                <c:pt idx="29">
                  <c:v>1600</c:v>
                </c:pt>
              </c:numCache>
            </c:numRef>
          </c:xVal>
          <c:yVal>
            <c:numRef>
              <c:f>'6.4'!$F$5:$F$34</c:f>
              <c:numCache>
                <c:formatCode>0.000</c:formatCode>
                <c:ptCount val="30"/>
                <c:pt idx="0">
                  <c:v>6.6000000000000003E-2</c:v>
                </c:pt>
                <c:pt idx="1">
                  <c:v>9.9000000000000005E-2</c:v>
                </c:pt>
                <c:pt idx="2">
                  <c:v>0.13200000000000001</c:v>
                </c:pt>
                <c:pt idx="3">
                  <c:v>0.16500000000000001</c:v>
                </c:pt>
                <c:pt idx="4">
                  <c:v>0.19800000000000001</c:v>
                </c:pt>
                <c:pt idx="5">
                  <c:v>0.23100000000000001</c:v>
                </c:pt>
                <c:pt idx="6">
                  <c:v>0.26400000000000001</c:v>
                </c:pt>
                <c:pt idx="7">
                  <c:v>0.29699999999999999</c:v>
                </c:pt>
                <c:pt idx="8">
                  <c:v>0.33</c:v>
                </c:pt>
                <c:pt idx="9">
                  <c:v>0.36299999999999999</c:v>
                </c:pt>
                <c:pt idx="10">
                  <c:v>0.39600000000000002</c:v>
                </c:pt>
                <c:pt idx="11">
                  <c:v>0.16500000000000001</c:v>
                </c:pt>
                <c:pt idx="12">
                  <c:v>0.19800000000000001</c:v>
                </c:pt>
                <c:pt idx="13">
                  <c:v>0.26400000000000001</c:v>
                </c:pt>
                <c:pt idx="14">
                  <c:v>0.33</c:v>
                </c:pt>
                <c:pt idx="15">
                  <c:v>0.39600000000000002</c:v>
                </c:pt>
                <c:pt idx="16">
                  <c:v>0.46200000000000002</c:v>
                </c:pt>
                <c:pt idx="17">
                  <c:v>0.52800000000000002</c:v>
                </c:pt>
                <c:pt idx="18">
                  <c:v>0.26400000000000001</c:v>
                </c:pt>
                <c:pt idx="19">
                  <c:v>0.33</c:v>
                </c:pt>
                <c:pt idx="20">
                  <c:v>0.39600000000000002</c:v>
                </c:pt>
                <c:pt idx="21">
                  <c:v>0.26400000000000001</c:v>
                </c:pt>
                <c:pt idx="22">
                  <c:v>0.33</c:v>
                </c:pt>
                <c:pt idx="23">
                  <c:v>0.33</c:v>
                </c:pt>
                <c:pt idx="24">
                  <c:v>0.39600000000000002</c:v>
                </c:pt>
                <c:pt idx="25">
                  <c:v>0.46200000000000002</c:v>
                </c:pt>
                <c:pt idx="26">
                  <c:v>0.52800000000000002</c:v>
                </c:pt>
                <c:pt idx="27">
                  <c:v>0.39600000000000002</c:v>
                </c:pt>
                <c:pt idx="28">
                  <c:v>0.46200000000000002</c:v>
                </c:pt>
                <c:pt idx="29">
                  <c:v>0.52800000000000002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848-48B8-BE2D-7AEF8A5132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2964992"/>
        <c:axId val="242335688"/>
      </c:scatterChart>
      <c:valAx>
        <c:axId val="242964992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uk-UA" sz="1100" b="1"/>
                  <a:t>Густина,  кг/м</a:t>
                </a:r>
                <a:r>
                  <a:rPr lang="uk-UA" sz="1100" b="1" baseline="30000"/>
                  <a:t>3</a:t>
                </a:r>
              </a:p>
            </c:rich>
          </c:tx>
          <c:layout>
            <c:manualLayout>
              <c:xMode val="edge"/>
              <c:yMode val="edge"/>
              <c:x val="0.73891018518518514"/>
              <c:y val="0.9221684027777777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uk-UA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242335688"/>
        <c:crosses val="autoZero"/>
        <c:crossBetween val="midCat"/>
        <c:majorUnit val="200"/>
      </c:valAx>
      <c:valAx>
        <c:axId val="242335688"/>
        <c:scaling>
          <c:orientation val="minMax"/>
          <c:max val="0.60000000000000009"/>
        </c:scaling>
        <c:delete val="0"/>
        <c:axPos val="l"/>
        <c:majorGridlines>
          <c:spPr>
            <a:ln w="6350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2429649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027546296296306E-2"/>
          <c:y val="2.6910416666666666E-2"/>
          <c:w val="0.87952384259259264"/>
          <c:h val="0.81662534722222224"/>
        </c:manualLayout>
      </c:layout>
      <c:scatterChart>
        <c:scatterStyle val="lineMarker"/>
        <c:varyColors val="0"/>
        <c:ser>
          <c:idx val="0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2540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forward val="100"/>
            <c:backward val="100"/>
            <c:dispRSqr val="0"/>
            <c:dispEq val="1"/>
            <c:trendlineLbl>
              <c:layout>
                <c:manualLayout>
                  <c:x val="4.2096516007532954E-2"/>
                  <c:y val="0.45143589743589746"/>
                </c:manualLayout>
              </c:layout>
              <c:numFmt formatCode="#,##0.00000" sourceLinked="0"/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uk-UA"/>
                </a:p>
              </c:txPr>
            </c:trendlineLbl>
          </c:trendline>
          <c:xVal>
            <c:numRef>
              <c:f>'6.4'!$B$5:$B$34</c:f>
              <c:numCache>
                <c:formatCode>General</c:formatCode>
                <c:ptCount val="30"/>
                <c:pt idx="0">
                  <c:v>200</c:v>
                </c:pt>
                <c:pt idx="1">
                  <c:v>300</c:v>
                </c:pt>
                <c:pt idx="2">
                  <c:v>400</c:v>
                </c:pt>
                <c:pt idx="3">
                  <c:v>500</c:v>
                </c:pt>
                <c:pt idx="4">
                  <c:v>600</c:v>
                </c:pt>
                <c:pt idx="5">
                  <c:v>700</c:v>
                </c:pt>
                <c:pt idx="6">
                  <c:v>800</c:v>
                </c:pt>
                <c:pt idx="7">
                  <c:v>900</c:v>
                </c:pt>
                <c:pt idx="8">
                  <c:v>1000</c:v>
                </c:pt>
                <c:pt idx="9">
                  <c:v>1100</c:v>
                </c:pt>
                <c:pt idx="10">
                  <c:v>1200</c:v>
                </c:pt>
                <c:pt idx="11">
                  <c:v>500</c:v>
                </c:pt>
                <c:pt idx="12">
                  <c:v>600</c:v>
                </c:pt>
                <c:pt idx="13">
                  <c:v>800</c:v>
                </c:pt>
                <c:pt idx="14">
                  <c:v>1000</c:v>
                </c:pt>
                <c:pt idx="15">
                  <c:v>1200</c:v>
                </c:pt>
                <c:pt idx="16">
                  <c:v>1400</c:v>
                </c:pt>
                <c:pt idx="17">
                  <c:v>1600</c:v>
                </c:pt>
                <c:pt idx="18">
                  <c:v>800</c:v>
                </c:pt>
                <c:pt idx="19">
                  <c:v>1000</c:v>
                </c:pt>
                <c:pt idx="20">
                  <c:v>1200</c:v>
                </c:pt>
                <c:pt idx="21">
                  <c:v>800</c:v>
                </c:pt>
                <c:pt idx="22">
                  <c:v>1000</c:v>
                </c:pt>
                <c:pt idx="23">
                  <c:v>1000</c:v>
                </c:pt>
                <c:pt idx="24">
                  <c:v>1200</c:v>
                </c:pt>
                <c:pt idx="25">
                  <c:v>1400</c:v>
                </c:pt>
                <c:pt idx="26">
                  <c:v>1600</c:v>
                </c:pt>
                <c:pt idx="27">
                  <c:v>1200</c:v>
                </c:pt>
                <c:pt idx="28">
                  <c:v>1400</c:v>
                </c:pt>
                <c:pt idx="29">
                  <c:v>1600</c:v>
                </c:pt>
              </c:numCache>
            </c:numRef>
          </c:xVal>
          <c:yVal>
            <c:numRef>
              <c:f>'6.4'!$D$5:$D$34</c:f>
              <c:numCache>
                <c:formatCode>0.00</c:formatCode>
                <c:ptCount val="30"/>
                <c:pt idx="0" formatCode="General">
                  <c:v>6.9000000000000006E-2</c:v>
                </c:pt>
                <c:pt idx="1">
                  <c:v>0.09</c:v>
                </c:pt>
                <c:pt idx="2">
                  <c:v>0.11</c:v>
                </c:pt>
                <c:pt idx="3">
                  <c:v>0.15</c:v>
                </c:pt>
                <c:pt idx="4">
                  <c:v>0.16</c:v>
                </c:pt>
                <c:pt idx="5">
                  <c:v>0.24</c:v>
                </c:pt>
                <c:pt idx="6">
                  <c:v>0.27</c:v>
                </c:pt>
                <c:pt idx="7">
                  <c:v>0.33</c:v>
                </c:pt>
                <c:pt idx="8">
                  <c:v>0.38</c:v>
                </c:pt>
                <c:pt idx="9">
                  <c:v>0.45</c:v>
                </c:pt>
                <c:pt idx="10">
                  <c:v>0.49</c:v>
                </c:pt>
                <c:pt idx="11">
                  <c:v>0.17</c:v>
                </c:pt>
                <c:pt idx="12">
                  <c:v>0.2</c:v>
                </c:pt>
                <c:pt idx="13">
                  <c:v>0.24</c:v>
                </c:pt>
                <c:pt idx="14">
                  <c:v>0.33</c:v>
                </c:pt>
                <c:pt idx="15">
                  <c:v>0.44</c:v>
                </c:pt>
                <c:pt idx="16">
                  <c:v>0.56000000000000005</c:v>
                </c:pt>
                <c:pt idx="17">
                  <c:v>0.67</c:v>
                </c:pt>
                <c:pt idx="18">
                  <c:v>0.28999999999999998</c:v>
                </c:pt>
                <c:pt idx="19">
                  <c:v>0.41</c:v>
                </c:pt>
                <c:pt idx="20">
                  <c:v>0.52</c:v>
                </c:pt>
                <c:pt idx="21">
                  <c:v>0.28999999999999998</c:v>
                </c:pt>
                <c:pt idx="22">
                  <c:v>0.35</c:v>
                </c:pt>
                <c:pt idx="23">
                  <c:v>0.31</c:v>
                </c:pt>
                <c:pt idx="24">
                  <c:v>0.37</c:v>
                </c:pt>
                <c:pt idx="25">
                  <c:v>0.44</c:v>
                </c:pt>
                <c:pt idx="26">
                  <c:v>0.52</c:v>
                </c:pt>
                <c:pt idx="27">
                  <c:v>0.47</c:v>
                </c:pt>
                <c:pt idx="28">
                  <c:v>0.52</c:v>
                </c:pt>
                <c:pt idx="29">
                  <c:v>0.57999999999999996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FDF-4638-82E1-462AAB27C63B}"/>
            </c:ext>
          </c:extLst>
        </c:ser>
        <c:ser>
          <c:idx val="1"/>
          <c:order val="1"/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'6.4'!$B$5:$B$34</c:f>
              <c:numCache>
                <c:formatCode>General</c:formatCode>
                <c:ptCount val="30"/>
                <c:pt idx="0">
                  <c:v>200</c:v>
                </c:pt>
                <c:pt idx="1">
                  <c:v>300</c:v>
                </c:pt>
                <c:pt idx="2">
                  <c:v>400</c:v>
                </c:pt>
                <c:pt idx="3">
                  <c:v>500</c:v>
                </c:pt>
                <c:pt idx="4">
                  <c:v>600</c:v>
                </c:pt>
                <c:pt idx="5">
                  <c:v>700</c:v>
                </c:pt>
                <c:pt idx="6">
                  <c:v>800</c:v>
                </c:pt>
                <c:pt idx="7">
                  <c:v>900</c:v>
                </c:pt>
                <c:pt idx="8">
                  <c:v>1000</c:v>
                </c:pt>
                <c:pt idx="9">
                  <c:v>1100</c:v>
                </c:pt>
                <c:pt idx="10">
                  <c:v>1200</c:v>
                </c:pt>
                <c:pt idx="11">
                  <c:v>500</c:v>
                </c:pt>
                <c:pt idx="12">
                  <c:v>600</c:v>
                </c:pt>
                <c:pt idx="13">
                  <c:v>800</c:v>
                </c:pt>
                <c:pt idx="14">
                  <c:v>1000</c:v>
                </c:pt>
                <c:pt idx="15">
                  <c:v>1200</c:v>
                </c:pt>
                <c:pt idx="16">
                  <c:v>1400</c:v>
                </c:pt>
                <c:pt idx="17">
                  <c:v>1600</c:v>
                </c:pt>
                <c:pt idx="18">
                  <c:v>800</c:v>
                </c:pt>
                <c:pt idx="19">
                  <c:v>1000</c:v>
                </c:pt>
                <c:pt idx="20">
                  <c:v>1200</c:v>
                </c:pt>
                <c:pt idx="21">
                  <c:v>800</c:v>
                </c:pt>
                <c:pt idx="22">
                  <c:v>1000</c:v>
                </c:pt>
                <c:pt idx="23">
                  <c:v>1000</c:v>
                </c:pt>
                <c:pt idx="24">
                  <c:v>1200</c:v>
                </c:pt>
                <c:pt idx="25">
                  <c:v>1400</c:v>
                </c:pt>
                <c:pt idx="26">
                  <c:v>1600</c:v>
                </c:pt>
                <c:pt idx="27">
                  <c:v>1200</c:v>
                </c:pt>
                <c:pt idx="28">
                  <c:v>1400</c:v>
                </c:pt>
                <c:pt idx="29">
                  <c:v>1600</c:v>
                </c:pt>
              </c:numCache>
            </c:numRef>
          </c:xVal>
          <c:yVal>
            <c:numRef>
              <c:f>'6.4'!$G$5:$G$34</c:f>
              <c:numCache>
                <c:formatCode>0.000</c:formatCode>
                <c:ptCount val="30"/>
                <c:pt idx="0">
                  <c:v>8.2000000000000003E-2</c:v>
                </c:pt>
                <c:pt idx="1">
                  <c:v>0.123</c:v>
                </c:pt>
                <c:pt idx="2">
                  <c:v>0.16400000000000001</c:v>
                </c:pt>
                <c:pt idx="3">
                  <c:v>0.20499999999999999</c:v>
                </c:pt>
                <c:pt idx="4">
                  <c:v>0.246</c:v>
                </c:pt>
                <c:pt idx="5">
                  <c:v>0.28699999999999998</c:v>
                </c:pt>
                <c:pt idx="6">
                  <c:v>0.32800000000000001</c:v>
                </c:pt>
                <c:pt idx="7">
                  <c:v>0.36899999999999999</c:v>
                </c:pt>
                <c:pt idx="8">
                  <c:v>0.41</c:v>
                </c:pt>
                <c:pt idx="9">
                  <c:v>0.45100000000000001</c:v>
                </c:pt>
                <c:pt idx="10">
                  <c:v>0.49199999999999999</c:v>
                </c:pt>
                <c:pt idx="11">
                  <c:v>0.20499999999999999</c:v>
                </c:pt>
                <c:pt idx="12">
                  <c:v>0.246</c:v>
                </c:pt>
                <c:pt idx="13">
                  <c:v>0.32800000000000001</c:v>
                </c:pt>
                <c:pt idx="14">
                  <c:v>0.41</c:v>
                </c:pt>
                <c:pt idx="15">
                  <c:v>0.49199999999999999</c:v>
                </c:pt>
                <c:pt idx="16">
                  <c:v>0.57399999999999995</c:v>
                </c:pt>
                <c:pt idx="17">
                  <c:v>0.65600000000000003</c:v>
                </c:pt>
                <c:pt idx="18">
                  <c:v>0.32800000000000001</c:v>
                </c:pt>
                <c:pt idx="19">
                  <c:v>0.41</c:v>
                </c:pt>
                <c:pt idx="20">
                  <c:v>0.49199999999999999</c:v>
                </c:pt>
                <c:pt idx="21">
                  <c:v>0.32800000000000001</c:v>
                </c:pt>
                <c:pt idx="22">
                  <c:v>0.41</c:v>
                </c:pt>
                <c:pt idx="23">
                  <c:v>0.41</c:v>
                </c:pt>
                <c:pt idx="24">
                  <c:v>0.49199999999999999</c:v>
                </c:pt>
                <c:pt idx="25">
                  <c:v>0.57399999999999995</c:v>
                </c:pt>
                <c:pt idx="26">
                  <c:v>0.65600000000000003</c:v>
                </c:pt>
                <c:pt idx="27">
                  <c:v>0.49199999999999999</c:v>
                </c:pt>
                <c:pt idx="28">
                  <c:v>0.57399999999999995</c:v>
                </c:pt>
                <c:pt idx="29">
                  <c:v>0.65600000000000003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FDF-4638-82E1-462AAB27C6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2336472"/>
        <c:axId val="242336864"/>
      </c:scatterChart>
      <c:valAx>
        <c:axId val="242336472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uk-UA" sz="1100" b="1"/>
                  <a:t>Густина,  кг/м</a:t>
                </a:r>
                <a:r>
                  <a:rPr lang="uk-UA" sz="1100" b="1" baseline="30000"/>
                  <a:t>3</a:t>
                </a:r>
              </a:p>
            </c:rich>
          </c:tx>
          <c:layout>
            <c:manualLayout>
              <c:xMode val="edge"/>
              <c:yMode val="edge"/>
              <c:x val="0.73891018518518514"/>
              <c:y val="0.9221684027777777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uk-UA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242336864"/>
        <c:crosses val="autoZero"/>
        <c:crossBetween val="midCat"/>
        <c:majorUnit val="200"/>
      </c:valAx>
      <c:valAx>
        <c:axId val="242336864"/>
        <c:scaling>
          <c:orientation val="minMax"/>
          <c:max val="0.70000000000000007"/>
        </c:scaling>
        <c:delete val="0"/>
        <c:axPos val="l"/>
        <c:majorGridlines>
          <c:spPr>
            <a:ln w="6350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2423364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027546296296306E-2"/>
          <c:y val="2.6910416666666666E-2"/>
          <c:w val="0.87952384259259264"/>
          <c:h val="0.81662534722222224"/>
        </c:manualLayout>
      </c:layout>
      <c:scatterChart>
        <c:scatterStyle val="lineMarker"/>
        <c:varyColors val="0"/>
        <c:ser>
          <c:idx val="0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2540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forward val="100"/>
            <c:backward val="100"/>
            <c:dispRSqr val="0"/>
            <c:dispEq val="1"/>
            <c:trendlineLbl>
              <c:layout>
                <c:manualLayout>
                  <c:x val="4.5086158192090393E-2"/>
                  <c:y val="0.39754202279202278"/>
                </c:manualLayout>
              </c:layout>
              <c:numFmt formatCode="#,##0.00000" sourceLinked="0"/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uk-UA"/>
                </a:p>
              </c:txPr>
            </c:trendlineLbl>
          </c:trendline>
          <c:xVal>
            <c:numRef>
              <c:f>'6.4'!$B$5:$B$34</c:f>
              <c:numCache>
                <c:formatCode>General</c:formatCode>
                <c:ptCount val="30"/>
                <c:pt idx="0">
                  <c:v>200</c:v>
                </c:pt>
                <c:pt idx="1">
                  <c:v>300</c:v>
                </c:pt>
                <c:pt idx="2">
                  <c:v>400</c:v>
                </c:pt>
                <c:pt idx="3">
                  <c:v>500</c:v>
                </c:pt>
                <c:pt idx="4">
                  <c:v>600</c:v>
                </c:pt>
                <c:pt idx="5">
                  <c:v>700</c:v>
                </c:pt>
                <c:pt idx="6">
                  <c:v>800</c:v>
                </c:pt>
                <c:pt idx="7">
                  <c:v>900</c:v>
                </c:pt>
                <c:pt idx="8">
                  <c:v>1000</c:v>
                </c:pt>
                <c:pt idx="9">
                  <c:v>1100</c:v>
                </c:pt>
                <c:pt idx="10">
                  <c:v>1200</c:v>
                </c:pt>
                <c:pt idx="11">
                  <c:v>500</c:v>
                </c:pt>
                <c:pt idx="12">
                  <c:v>600</c:v>
                </c:pt>
                <c:pt idx="13">
                  <c:v>800</c:v>
                </c:pt>
                <c:pt idx="14">
                  <c:v>1000</c:v>
                </c:pt>
                <c:pt idx="15">
                  <c:v>1200</c:v>
                </c:pt>
                <c:pt idx="16">
                  <c:v>1400</c:v>
                </c:pt>
                <c:pt idx="17">
                  <c:v>1600</c:v>
                </c:pt>
                <c:pt idx="18">
                  <c:v>800</c:v>
                </c:pt>
                <c:pt idx="19">
                  <c:v>1000</c:v>
                </c:pt>
                <c:pt idx="20">
                  <c:v>1200</c:v>
                </c:pt>
                <c:pt idx="21">
                  <c:v>800</c:v>
                </c:pt>
                <c:pt idx="22">
                  <c:v>1000</c:v>
                </c:pt>
                <c:pt idx="23">
                  <c:v>1000</c:v>
                </c:pt>
                <c:pt idx="24">
                  <c:v>1200</c:v>
                </c:pt>
                <c:pt idx="25">
                  <c:v>1400</c:v>
                </c:pt>
                <c:pt idx="26">
                  <c:v>1600</c:v>
                </c:pt>
                <c:pt idx="27">
                  <c:v>1200</c:v>
                </c:pt>
                <c:pt idx="28">
                  <c:v>1400</c:v>
                </c:pt>
                <c:pt idx="29">
                  <c:v>1600</c:v>
                </c:pt>
              </c:numCache>
            </c:numRef>
          </c:xVal>
          <c:yVal>
            <c:numRef>
              <c:f>'6.4'!$E$5:$E$34</c:f>
              <c:numCache>
                <c:formatCode>0.00</c:formatCode>
                <c:ptCount val="30"/>
                <c:pt idx="0" formatCode="General">
                  <c:v>7.3999999999999996E-2</c:v>
                </c:pt>
                <c:pt idx="1">
                  <c:v>0.1</c:v>
                </c:pt>
                <c:pt idx="2">
                  <c:v>0.13</c:v>
                </c:pt>
                <c:pt idx="3">
                  <c:v>0.16</c:v>
                </c:pt>
                <c:pt idx="4">
                  <c:v>0.18</c:v>
                </c:pt>
                <c:pt idx="5">
                  <c:v>0.27</c:v>
                </c:pt>
                <c:pt idx="6">
                  <c:v>0.3</c:v>
                </c:pt>
                <c:pt idx="7">
                  <c:v>0.36</c:v>
                </c:pt>
                <c:pt idx="8">
                  <c:v>0.44</c:v>
                </c:pt>
                <c:pt idx="9">
                  <c:v>0.51</c:v>
                </c:pt>
                <c:pt idx="10">
                  <c:v>0.55000000000000004</c:v>
                </c:pt>
                <c:pt idx="11">
                  <c:v>0.23</c:v>
                </c:pt>
                <c:pt idx="12">
                  <c:v>0.26</c:v>
                </c:pt>
                <c:pt idx="13">
                  <c:v>0.31</c:v>
                </c:pt>
                <c:pt idx="14">
                  <c:v>0.41</c:v>
                </c:pt>
                <c:pt idx="15">
                  <c:v>0.52</c:v>
                </c:pt>
                <c:pt idx="16">
                  <c:v>0.65</c:v>
                </c:pt>
                <c:pt idx="17">
                  <c:v>0.79</c:v>
                </c:pt>
                <c:pt idx="18">
                  <c:v>0.35</c:v>
                </c:pt>
                <c:pt idx="19">
                  <c:v>0.47</c:v>
                </c:pt>
                <c:pt idx="20">
                  <c:v>0.57999999999999996</c:v>
                </c:pt>
                <c:pt idx="21">
                  <c:v>0.35</c:v>
                </c:pt>
                <c:pt idx="22">
                  <c:v>0.41</c:v>
                </c:pt>
                <c:pt idx="23">
                  <c:v>0.37</c:v>
                </c:pt>
                <c:pt idx="24">
                  <c:v>0.44</c:v>
                </c:pt>
                <c:pt idx="25">
                  <c:v>0.52</c:v>
                </c:pt>
                <c:pt idx="26">
                  <c:v>0.63</c:v>
                </c:pt>
                <c:pt idx="27">
                  <c:v>0.52</c:v>
                </c:pt>
                <c:pt idx="28">
                  <c:v>0.57999999999999996</c:v>
                </c:pt>
                <c:pt idx="29">
                  <c:v>0.64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3AC-45E4-A434-07390CDD69FE}"/>
            </c:ext>
          </c:extLst>
        </c:ser>
        <c:ser>
          <c:idx val="1"/>
          <c:order val="1"/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'6.4'!$B$5:$B$34</c:f>
              <c:numCache>
                <c:formatCode>General</c:formatCode>
                <c:ptCount val="30"/>
                <c:pt idx="0">
                  <c:v>200</c:v>
                </c:pt>
                <c:pt idx="1">
                  <c:v>300</c:v>
                </c:pt>
                <c:pt idx="2">
                  <c:v>400</c:v>
                </c:pt>
                <c:pt idx="3">
                  <c:v>500</c:v>
                </c:pt>
                <c:pt idx="4">
                  <c:v>600</c:v>
                </c:pt>
                <c:pt idx="5">
                  <c:v>700</c:v>
                </c:pt>
                <c:pt idx="6">
                  <c:v>800</c:v>
                </c:pt>
                <c:pt idx="7">
                  <c:v>900</c:v>
                </c:pt>
                <c:pt idx="8">
                  <c:v>1000</c:v>
                </c:pt>
                <c:pt idx="9">
                  <c:v>1100</c:v>
                </c:pt>
                <c:pt idx="10">
                  <c:v>1200</c:v>
                </c:pt>
                <c:pt idx="11">
                  <c:v>500</c:v>
                </c:pt>
                <c:pt idx="12">
                  <c:v>600</c:v>
                </c:pt>
                <c:pt idx="13">
                  <c:v>800</c:v>
                </c:pt>
                <c:pt idx="14">
                  <c:v>1000</c:v>
                </c:pt>
                <c:pt idx="15">
                  <c:v>1200</c:v>
                </c:pt>
                <c:pt idx="16">
                  <c:v>1400</c:v>
                </c:pt>
                <c:pt idx="17">
                  <c:v>1600</c:v>
                </c:pt>
                <c:pt idx="18">
                  <c:v>800</c:v>
                </c:pt>
                <c:pt idx="19">
                  <c:v>1000</c:v>
                </c:pt>
                <c:pt idx="20">
                  <c:v>1200</c:v>
                </c:pt>
                <c:pt idx="21">
                  <c:v>800</c:v>
                </c:pt>
                <c:pt idx="22">
                  <c:v>1000</c:v>
                </c:pt>
                <c:pt idx="23">
                  <c:v>1000</c:v>
                </c:pt>
                <c:pt idx="24">
                  <c:v>1200</c:v>
                </c:pt>
                <c:pt idx="25">
                  <c:v>1400</c:v>
                </c:pt>
                <c:pt idx="26">
                  <c:v>1600</c:v>
                </c:pt>
                <c:pt idx="27">
                  <c:v>1200</c:v>
                </c:pt>
                <c:pt idx="28">
                  <c:v>1400</c:v>
                </c:pt>
                <c:pt idx="29">
                  <c:v>1600</c:v>
                </c:pt>
              </c:numCache>
            </c:numRef>
          </c:xVal>
          <c:yVal>
            <c:numRef>
              <c:f>'6.4'!$H$5:$H$34</c:f>
              <c:numCache>
                <c:formatCode>0.000</c:formatCode>
                <c:ptCount val="30"/>
                <c:pt idx="0">
                  <c:v>9.6000000000000002E-2</c:v>
                </c:pt>
                <c:pt idx="1">
                  <c:v>0.14400000000000002</c:v>
                </c:pt>
                <c:pt idx="2">
                  <c:v>0.192</c:v>
                </c:pt>
                <c:pt idx="3">
                  <c:v>0.24000000000000002</c:v>
                </c:pt>
                <c:pt idx="4">
                  <c:v>0.28800000000000003</c:v>
                </c:pt>
                <c:pt idx="5">
                  <c:v>0.33600000000000002</c:v>
                </c:pt>
                <c:pt idx="6">
                  <c:v>0.38400000000000001</c:v>
                </c:pt>
                <c:pt idx="7">
                  <c:v>0.432</c:v>
                </c:pt>
                <c:pt idx="8">
                  <c:v>0.48000000000000004</c:v>
                </c:pt>
                <c:pt idx="9">
                  <c:v>0.52800000000000002</c:v>
                </c:pt>
                <c:pt idx="10">
                  <c:v>0.57600000000000007</c:v>
                </c:pt>
                <c:pt idx="11">
                  <c:v>0.24000000000000002</c:v>
                </c:pt>
                <c:pt idx="12">
                  <c:v>0.28800000000000003</c:v>
                </c:pt>
                <c:pt idx="13">
                  <c:v>0.38400000000000001</c:v>
                </c:pt>
                <c:pt idx="14">
                  <c:v>0.48000000000000004</c:v>
                </c:pt>
                <c:pt idx="15">
                  <c:v>0.57600000000000007</c:v>
                </c:pt>
                <c:pt idx="16">
                  <c:v>0.67200000000000004</c:v>
                </c:pt>
                <c:pt idx="17">
                  <c:v>0.76800000000000002</c:v>
                </c:pt>
                <c:pt idx="18">
                  <c:v>0.38400000000000001</c:v>
                </c:pt>
                <c:pt idx="19">
                  <c:v>0.48000000000000004</c:v>
                </c:pt>
                <c:pt idx="20">
                  <c:v>0.57600000000000007</c:v>
                </c:pt>
                <c:pt idx="21">
                  <c:v>0.38400000000000001</c:v>
                </c:pt>
                <c:pt idx="22">
                  <c:v>0.48000000000000004</c:v>
                </c:pt>
                <c:pt idx="23">
                  <c:v>0.48000000000000004</c:v>
                </c:pt>
                <c:pt idx="24">
                  <c:v>0.57600000000000007</c:v>
                </c:pt>
                <c:pt idx="25">
                  <c:v>0.67200000000000004</c:v>
                </c:pt>
                <c:pt idx="26">
                  <c:v>0.76800000000000002</c:v>
                </c:pt>
                <c:pt idx="27">
                  <c:v>0.57600000000000007</c:v>
                </c:pt>
                <c:pt idx="28">
                  <c:v>0.67200000000000004</c:v>
                </c:pt>
                <c:pt idx="29">
                  <c:v>0.76800000000000002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3AC-45E4-A434-07390CDD69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2337648"/>
        <c:axId val="242338040"/>
      </c:scatterChart>
      <c:valAx>
        <c:axId val="24233764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uk-UA" sz="1100" b="1"/>
                  <a:t>Густина,  кг/м</a:t>
                </a:r>
                <a:r>
                  <a:rPr lang="uk-UA" sz="1100" b="1" baseline="30000"/>
                  <a:t>3</a:t>
                </a:r>
              </a:p>
            </c:rich>
          </c:tx>
          <c:layout>
            <c:manualLayout>
              <c:xMode val="edge"/>
              <c:yMode val="edge"/>
              <c:x val="0.73891018518518514"/>
              <c:y val="0.9221684027777777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uk-UA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242338040"/>
        <c:crosses val="autoZero"/>
        <c:crossBetween val="midCat"/>
        <c:majorUnit val="200"/>
      </c:valAx>
      <c:valAx>
        <c:axId val="242338040"/>
        <c:scaling>
          <c:orientation val="minMax"/>
          <c:max val="0.8"/>
        </c:scaling>
        <c:delete val="0"/>
        <c:axPos val="l"/>
        <c:majorGridlines>
          <c:spPr>
            <a:ln w="6350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2423376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28575" cap="rnd">
                <a:solidFill>
                  <a:schemeClr val="tx1"/>
                </a:solidFill>
                <a:prstDash val="sysDot"/>
              </a:ln>
              <a:effectLst/>
            </c:spPr>
            <c:trendlineType val="poly"/>
            <c:order val="2"/>
            <c:intercept val="0"/>
            <c:dispRSqr val="0"/>
            <c:dispEq val="1"/>
            <c:trendlineLbl>
              <c:layout>
                <c:manualLayout>
                  <c:x val="-0.2294704365079365"/>
                  <c:y val="0.26094416666666664"/>
                </c:manualLayout>
              </c:layout>
              <c:numFmt formatCode="#,##0.0000000" sourceLinked="0"/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4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uk-UA"/>
                </a:p>
              </c:txPr>
            </c:trendlineLbl>
          </c:trendline>
          <c:xVal>
            <c:numRef>
              <c:f>'6.5'!$C$8:$C$47</c:f>
              <c:numCache>
                <c:formatCode>General</c:formatCode>
                <c:ptCount val="40"/>
                <c:pt idx="0">
                  <c:v>300</c:v>
                </c:pt>
                <c:pt idx="1">
                  <c:v>400</c:v>
                </c:pt>
                <c:pt idx="2">
                  <c:v>500</c:v>
                </c:pt>
                <c:pt idx="3">
                  <c:v>600</c:v>
                </c:pt>
                <c:pt idx="4">
                  <c:v>700</c:v>
                </c:pt>
                <c:pt idx="5">
                  <c:v>800</c:v>
                </c:pt>
                <c:pt idx="6">
                  <c:v>900</c:v>
                </c:pt>
                <c:pt idx="7">
                  <c:v>1000</c:v>
                </c:pt>
                <c:pt idx="8">
                  <c:v>1100</c:v>
                </c:pt>
                <c:pt idx="9">
                  <c:v>1200</c:v>
                </c:pt>
                <c:pt idx="10">
                  <c:v>300</c:v>
                </c:pt>
                <c:pt idx="11">
                  <c:v>400</c:v>
                </c:pt>
                <c:pt idx="12">
                  <c:v>500</c:v>
                </c:pt>
                <c:pt idx="13">
                  <c:v>600</c:v>
                </c:pt>
                <c:pt idx="14">
                  <c:v>700</c:v>
                </c:pt>
                <c:pt idx="15">
                  <c:v>800</c:v>
                </c:pt>
                <c:pt idx="16">
                  <c:v>900</c:v>
                </c:pt>
                <c:pt idx="17">
                  <c:v>1000</c:v>
                </c:pt>
                <c:pt idx="18">
                  <c:v>1100</c:v>
                </c:pt>
                <c:pt idx="19">
                  <c:v>1200</c:v>
                </c:pt>
                <c:pt idx="20">
                  <c:v>300</c:v>
                </c:pt>
                <c:pt idx="21">
                  <c:v>400</c:v>
                </c:pt>
                <c:pt idx="22">
                  <c:v>500</c:v>
                </c:pt>
                <c:pt idx="23">
                  <c:v>600</c:v>
                </c:pt>
                <c:pt idx="24">
                  <c:v>700</c:v>
                </c:pt>
                <c:pt idx="25">
                  <c:v>800</c:v>
                </c:pt>
                <c:pt idx="26">
                  <c:v>900</c:v>
                </c:pt>
                <c:pt idx="27">
                  <c:v>1000</c:v>
                </c:pt>
                <c:pt idx="28">
                  <c:v>1100</c:v>
                </c:pt>
                <c:pt idx="29">
                  <c:v>1200</c:v>
                </c:pt>
                <c:pt idx="30">
                  <c:v>300</c:v>
                </c:pt>
                <c:pt idx="31">
                  <c:v>400</c:v>
                </c:pt>
                <c:pt idx="32">
                  <c:v>500</c:v>
                </c:pt>
                <c:pt idx="33">
                  <c:v>600</c:v>
                </c:pt>
                <c:pt idx="34">
                  <c:v>700</c:v>
                </c:pt>
                <c:pt idx="35">
                  <c:v>800</c:v>
                </c:pt>
                <c:pt idx="36">
                  <c:v>900</c:v>
                </c:pt>
                <c:pt idx="37">
                  <c:v>1000</c:v>
                </c:pt>
                <c:pt idx="38">
                  <c:v>1100</c:v>
                </c:pt>
                <c:pt idx="39">
                  <c:v>1200</c:v>
                </c:pt>
              </c:numCache>
            </c:numRef>
          </c:xVal>
          <c:yVal>
            <c:numRef>
              <c:f>'6.5'!$D$8:$D$47</c:f>
              <c:numCache>
                <c:formatCode>0.00</c:formatCode>
                <c:ptCount val="40"/>
                <c:pt idx="0">
                  <c:v>0.45</c:v>
                </c:pt>
                <c:pt idx="1">
                  <c:v>0.63</c:v>
                </c:pt>
                <c:pt idx="2">
                  <c:v>0.95</c:v>
                </c:pt>
                <c:pt idx="3">
                  <c:v>1.3</c:v>
                </c:pt>
                <c:pt idx="4">
                  <c:v>1.6</c:v>
                </c:pt>
                <c:pt idx="5">
                  <c:v>1.6</c:v>
                </c:pt>
                <c:pt idx="6">
                  <c:v>3.1</c:v>
                </c:pt>
                <c:pt idx="7">
                  <c:v>4.5999999999999996</c:v>
                </c:pt>
                <c:pt idx="8">
                  <c:v>6</c:v>
                </c:pt>
                <c:pt idx="9">
                  <c:v>7</c:v>
                </c:pt>
                <c:pt idx="10">
                  <c:v>0.63</c:v>
                </c:pt>
                <c:pt idx="11">
                  <c:v>0.95</c:v>
                </c:pt>
                <c:pt idx="12">
                  <c:v>1.6</c:v>
                </c:pt>
                <c:pt idx="13">
                  <c:v>1.6</c:v>
                </c:pt>
                <c:pt idx="14">
                  <c:v>3.1</c:v>
                </c:pt>
                <c:pt idx="15">
                  <c:v>3.1</c:v>
                </c:pt>
                <c:pt idx="16">
                  <c:v>4.5999999999999996</c:v>
                </c:pt>
                <c:pt idx="17">
                  <c:v>6</c:v>
                </c:pt>
                <c:pt idx="18">
                  <c:v>7.7</c:v>
                </c:pt>
                <c:pt idx="19">
                  <c:v>7.7</c:v>
                </c:pt>
                <c:pt idx="20">
                  <c:v>0.3</c:v>
                </c:pt>
                <c:pt idx="21">
                  <c:v>0.63</c:v>
                </c:pt>
                <c:pt idx="22">
                  <c:v>0.95</c:v>
                </c:pt>
                <c:pt idx="23">
                  <c:v>0.95</c:v>
                </c:pt>
                <c:pt idx="24">
                  <c:v>1.3</c:v>
                </c:pt>
                <c:pt idx="25">
                  <c:v>1.3</c:v>
                </c:pt>
                <c:pt idx="26">
                  <c:v>2.2000000000000002</c:v>
                </c:pt>
                <c:pt idx="27">
                  <c:v>3.1</c:v>
                </c:pt>
                <c:pt idx="28">
                  <c:v>4.5999999999999996</c:v>
                </c:pt>
                <c:pt idx="29">
                  <c:v>6</c:v>
                </c:pt>
                <c:pt idx="30">
                  <c:v>0.45</c:v>
                </c:pt>
                <c:pt idx="31">
                  <c:v>0.95</c:v>
                </c:pt>
                <c:pt idx="32">
                  <c:v>1.3</c:v>
                </c:pt>
                <c:pt idx="33">
                  <c:v>1.3</c:v>
                </c:pt>
                <c:pt idx="34">
                  <c:v>1.6</c:v>
                </c:pt>
                <c:pt idx="35">
                  <c:v>2.2000000000000002</c:v>
                </c:pt>
                <c:pt idx="36">
                  <c:v>3.1</c:v>
                </c:pt>
                <c:pt idx="37">
                  <c:v>4.5999999999999996</c:v>
                </c:pt>
                <c:pt idx="38">
                  <c:v>7</c:v>
                </c:pt>
                <c:pt idx="39">
                  <c:v>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264-484C-AC17-8B449B389A45}"/>
            </c:ext>
          </c:extLst>
        </c:ser>
        <c:ser>
          <c:idx val="1"/>
          <c:order val="1"/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'6.5'!$C$5:$C$47</c:f>
              <c:numCache>
                <c:formatCode>General</c:formatCode>
                <c:ptCount val="43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  <c:pt idx="13">
                  <c:v>300</c:v>
                </c:pt>
                <c:pt idx="14">
                  <c:v>400</c:v>
                </c:pt>
                <c:pt idx="15">
                  <c:v>500</c:v>
                </c:pt>
                <c:pt idx="16">
                  <c:v>600</c:v>
                </c:pt>
                <c:pt idx="17">
                  <c:v>700</c:v>
                </c:pt>
                <c:pt idx="18">
                  <c:v>800</c:v>
                </c:pt>
                <c:pt idx="19">
                  <c:v>900</c:v>
                </c:pt>
                <c:pt idx="20">
                  <c:v>1000</c:v>
                </c:pt>
                <c:pt idx="21">
                  <c:v>1100</c:v>
                </c:pt>
                <c:pt idx="22">
                  <c:v>1200</c:v>
                </c:pt>
                <c:pt idx="23">
                  <c:v>300</c:v>
                </c:pt>
                <c:pt idx="24">
                  <c:v>400</c:v>
                </c:pt>
                <c:pt idx="25">
                  <c:v>500</c:v>
                </c:pt>
                <c:pt idx="26">
                  <c:v>600</c:v>
                </c:pt>
                <c:pt idx="27">
                  <c:v>700</c:v>
                </c:pt>
                <c:pt idx="28">
                  <c:v>800</c:v>
                </c:pt>
                <c:pt idx="29">
                  <c:v>900</c:v>
                </c:pt>
                <c:pt idx="30">
                  <c:v>1000</c:v>
                </c:pt>
                <c:pt idx="31">
                  <c:v>1100</c:v>
                </c:pt>
                <c:pt idx="32">
                  <c:v>1200</c:v>
                </c:pt>
                <c:pt idx="33">
                  <c:v>300</c:v>
                </c:pt>
                <c:pt idx="34">
                  <c:v>400</c:v>
                </c:pt>
                <c:pt idx="35">
                  <c:v>500</c:v>
                </c:pt>
                <c:pt idx="36">
                  <c:v>600</c:v>
                </c:pt>
                <c:pt idx="37">
                  <c:v>700</c:v>
                </c:pt>
                <c:pt idx="38">
                  <c:v>800</c:v>
                </c:pt>
                <c:pt idx="39">
                  <c:v>900</c:v>
                </c:pt>
                <c:pt idx="40">
                  <c:v>1000</c:v>
                </c:pt>
                <c:pt idx="41">
                  <c:v>1100</c:v>
                </c:pt>
                <c:pt idx="42">
                  <c:v>1200</c:v>
                </c:pt>
              </c:numCache>
            </c:numRef>
          </c:xVal>
          <c:yVal>
            <c:numRef>
              <c:f>'6.5'!$E$5:$E$17</c:f>
              <c:numCache>
                <c:formatCode>0.00</c:formatCode>
                <c:ptCount val="13"/>
                <c:pt idx="0">
                  <c:v>0</c:v>
                </c:pt>
                <c:pt idx="1">
                  <c:v>-3.9999999999999987E-2</c:v>
                </c:pt>
                <c:pt idx="2">
                  <c:v>0</c:v>
                </c:pt>
                <c:pt idx="3">
                  <c:v>0.12</c:v>
                </c:pt>
                <c:pt idx="4">
                  <c:v>0.32000000000000006</c:v>
                </c:pt>
                <c:pt idx="5">
                  <c:v>0.60000000000000009</c:v>
                </c:pt>
                <c:pt idx="6">
                  <c:v>0.96</c:v>
                </c:pt>
                <c:pt idx="7">
                  <c:v>1.4</c:v>
                </c:pt>
                <c:pt idx="8">
                  <c:v>1.9200000000000002</c:v>
                </c:pt>
                <c:pt idx="9">
                  <c:v>2.5199999999999996</c:v>
                </c:pt>
                <c:pt idx="10">
                  <c:v>3.2</c:v>
                </c:pt>
                <c:pt idx="11">
                  <c:v>3.96</c:v>
                </c:pt>
                <c:pt idx="12">
                  <c:v>4.8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264-484C-AC17-8B449B389A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2338824"/>
        <c:axId val="242339216"/>
      </c:scatterChart>
      <c:valAx>
        <c:axId val="242338824"/>
        <c:scaling>
          <c:orientation val="minMax"/>
          <c:max val="1200"/>
        </c:scaling>
        <c:delete val="0"/>
        <c:axPos val="b"/>
        <c:majorGridlines>
          <c:spPr>
            <a:ln w="6350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242339216"/>
        <c:crosses val="autoZero"/>
        <c:crossBetween val="midCat"/>
      </c:valAx>
      <c:valAx>
        <c:axId val="242339216"/>
        <c:scaling>
          <c:orientation val="minMax"/>
          <c:max val="8"/>
          <c:min val="0"/>
        </c:scaling>
        <c:delete val="0"/>
        <c:axPos val="l"/>
        <c:majorGridlines>
          <c:spPr>
            <a:ln w="6350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2423388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343055555555561E-2"/>
          <c:y val="2.7933375230793853E-2"/>
          <c:w val="0.86889662698412695"/>
          <c:h val="0.88143419030955572"/>
        </c:manualLayout>
      </c:layout>
      <c:scatterChart>
        <c:scatterStyle val="lineMarker"/>
        <c:varyColors val="0"/>
        <c:ser>
          <c:idx val="0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25400" cap="rnd">
                <a:solidFill>
                  <a:schemeClr val="tx1"/>
                </a:solidFill>
                <a:prstDash val="sysDot"/>
              </a:ln>
              <a:effectLst/>
            </c:spPr>
            <c:trendlineType val="exp"/>
            <c:intercept val="0"/>
            <c:dispRSqr val="0"/>
            <c:dispEq val="0"/>
          </c:trendline>
          <c:trendline>
            <c:spPr>
              <a:ln w="28575" cap="rnd">
                <a:solidFill>
                  <a:schemeClr val="tx1"/>
                </a:solidFill>
                <a:prstDash val="sysDot"/>
              </a:ln>
              <a:effectLst/>
            </c:spPr>
            <c:trendlineType val="exp"/>
            <c:dispRSqr val="0"/>
            <c:dispEq val="1"/>
            <c:trendlineLbl>
              <c:layout>
                <c:manualLayout>
                  <c:x val="-0.19173571428571429"/>
                  <c:y val="0.38772826784427955"/>
                </c:manualLayout>
              </c:layout>
              <c:numFmt formatCode="#,##0.0000" sourceLinked="0"/>
              <c:spPr>
                <a:solidFill>
                  <a:schemeClr val="bg1"/>
                </a:solidFill>
                <a:ln w="12700">
                  <a:solidFill>
                    <a:schemeClr val="bg1">
                      <a:lumMod val="75000"/>
                    </a:schemeClr>
                  </a:solidFill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4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uk-UA"/>
                </a:p>
              </c:txPr>
            </c:trendlineLbl>
          </c:trendline>
          <c:xVal>
            <c:numRef>
              <c:f>'6.5'!$C$8:$C$47</c:f>
              <c:numCache>
                <c:formatCode>General</c:formatCode>
                <c:ptCount val="40"/>
                <c:pt idx="0">
                  <c:v>300</c:v>
                </c:pt>
                <c:pt idx="1">
                  <c:v>400</c:v>
                </c:pt>
                <c:pt idx="2">
                  <c:v>500</c:v>
                </c:pt>
                <c:pt idx="3">
                  <c:v>600</c:v>
                </c:pt>
                <c:pt idx="4">
                  <c:v>700</c:v>
                </c:pt>
                <c:pt idx="5">
                  <c:v>800</c:v>
                </c:pt>
                <c:pt idx="6">
                  <c:v>900</c:v>
                </c:pt>
                <c:pt idx="7">
                  <c:v>1000</c:v>
                </c:pt>
                <c:pt idx="8">
                  <c:v>1100</c:v>
                </c:pt>
                <c:pt idx="9">
                  <c:v>1200</c:v>
                </c:pt>
                <c:pt idx="10">
                  <c:v>300</c:v>
                </c:pt>
                <c:pt idx="11">
                  <c:v>400</c:v>
                </c:pt>
                <c:pt idx="12">
                  <c:v>500</c:v>
                </c:pt>
                <c:pt idx="13">
                  <c:v>600</c:v>
                </c:pt>
                <c:pt idx="14">
                  <c:v>700</c:v>
                </c:pt>
                <c:pt idx="15">
                  <c:v>800</c:v>
                </c:pt>
                <c:pt idx="16">
                  <c:v>900</c:v>
                </c:pt>
                <c:pt idx="17">
                  <c:v>1000</c:v>
                </c:pt>
                <c:pt idx="18">
                  <c:v>1100</c:v>
                </c:pt>
                <c:pt idx="19">
                  <c:v>1200</c:v>
                </c:pt>
                <c:pt idx="20">
                  <c:v>300</c:v>
                </c:pt>
                <c:pt idx="21">
                  <c:v>400</c:v>
                </c:pt>
                <c:pt idx="22">
                  <c:v>500</c:v>
                </c:pt>
                <c:pt idx="23">
                  <c:v>600</c:v>
                </c:pt>
                <c:pt idx="24">
                  <c:v>700</c:v>
                </c:pt>
                <c:pt idx="25">
                  <c:v>800</c:v>
                </c:pt>
                <c:pt idx="26">
                  <c:v>900</c:v>
                </c:pt>
                <c:pt idx="27">
                  <c:v>1000</c:v>
                </c:pt>
                <c:pt idx="28">
                  <c:v>1100</c:v>
                </c:pt>
                <c:pt idx="29">
                  <c:v>1200</c:v>
                </c:pt>
                <c:pt idx="30">
                  <c:v>300</c:v>
                </c:pt>
                <c:pt idx="31">
                  <c:v>400</c:v>
                </c:pt>
                <c:pt idx="32">
                  <c:v>500</c:v>
                </c:pt>
                <c:pt idx="33">
                  <c:v>600</c:v>
                </c:pt>
                <c:pt idx="34">
                  <c:v>700</c:v>
                </c:pt>
                <c:pt idx="35">
                  <c:v>800</c:v>
                </c:pt>
                <c:pt idx="36">
                  <c:v>900</c:v>
                </c:pt>
                <c:pt idx="37">
                  <c:v>1000</c:v>
                </c:pt>
                <c:pt idx="38">
                  <c:v>1100</c:v>
                </c:pt>
                <c:pt idx="39">
                  <c:v>1200</c:v>
                </c:pt>
              </c:numCache>
            </c:numRef>
          </c:xVal>
          <c:yVal>
            <c:numRef>
              <c:f>'6.5'!$D$8:$D$47</c:f>
              <c:numCache>
                <c:formatCode>0.00</c:formatCode>
                <c:ptCount val="40"/>
                <c:pt idx="0">
                  <c:v>0.45</c:v>
                </c:pt>
                <c:pt idx="1">
                  <c:v>0.63</c:v>
                </c:pt>
                <c:pt idx="2">
                  <c:v>0.95</c:v>
                </c:pt>
                <c:pt idx="3">
                  <c:v>1.3</c:v>
                </c:pt>
                <c:pt idx="4">
                  <c:v>1.6</c:v>
                </c:pt>
                <c:pt idx="5">
                  <c:v>1.6</c:v>
                </c:pt>
                <c:pt idx="6">
                  <c:v>3.1</c:v>
                </c:pt>
                <c:pt idx="7">
                  <c:v>4.5999999999999996</c:v>
                </c:pt>
                <c:pt idx="8">
                  <c:v>6</c:v>
                </c:pt>
                <c:pt idx="9">
                  <c:v>7</c:v>
                </c:pt>
                <c:pt idx="10">
                  <c:v>0.63</c:v>
                </c:pt>
                <c:pt idx="11">
                  <c:v>0.95</c:v>
                </c:pt>
                <c:pt idx="12">
                  <c:v>1.6</c:v>
                </c:pt>
                <c:pt idx="13">
                  <c:v>1.6</c:v>
                </c:pt>
                <c:pt idx="14">
                  <c:v>3.1</c:v>
                </c:pt>
                <c:pt idx="15">
                  <c:v>3.1</c:v>
                </c:pt>
                <c:pt idx="16">
                  <c:v>4.5999999999999996</c:v>
                </c:pt>
                <c:pt idx="17">
                  <c:v>6</c:v>
                </c:pt>
                <c:pt idx="18">
                  <c:v>7.7</c:v>
                </c:pt>
                <c:pt idx="19">
                  <c:v>7.7</c:v>
                </c:pt>
                <c:pt idx="20">
                  <c:v>0.3</c:v>
                </c:pt>
                <c:pt idx="21">
                  <c:v>0.63</c:v>
                </c:pt>
                <c:pt idx="22">
                  <c:v>0.95</c:v>
                </c:pt>
                <c:pt idx="23">
                  <c:v>0.95</c:v>
                </c:pt>
                <c:pt idx="24">
                  <c:v>1.3</c:v>
                </c:pt>
                <c:pt idx="25">
                  <c:v>1.3</c:v>
                </c:pt>
                <c:pt idx="26">
                  <c:v>2.2000000000000002</c:v>
                </c:pt>
                <c:pt idx="27">
                  <c:v>3.1</c:v>
                </c:pt>
                <c:pt idx="28">
                  <c:v>4.5999999999999996</c:v>
                </c:pt>
                <c:pt idx="29">
                  <c:v>6</c:v>
                </c:pt>
                <c:pt idx="30">
                  <c:v>0.45</c:v>
                </c:pt>
                <c:pt idx="31">
                  <c:v>0.95</c:v>
                </c:pt>
                <c:pt idx="32">
                  <c:v>1.3</c:v>
                </c:pt>
                <c:pt idx="33">
                  <c:v>1.3</c:v>
                </c:pt>
                <c:pt idx="34">
                  <c:v>1.6</c:v>
                </c:pt>
                <c:pt idx="35">
                  <c:v>2.2000000000000002</c:v>
                </c:pt>
                <c:pt idx="36">
                  <c:v>3.1</c:v>
                </c:pt>
                <c:pt idx="37">
                  <c:v>4.5999999999999996</c:v>
                </c:pt>
                <c:pt idx="38">
                  <c:v>7</c:v>
                </c:pt>
                <c:pt idx="39">
                  <c:v>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124-40C3-A67E-13EBEF0CCE83}"/>
            </c:ext>
          </c:extLst>
        </c:ser>
        <c:ser>
          <c:idx val="1"/>
          <c:order val="1"/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'6.5'!$C$5:$C$47</c:f>
              <c:numCache>
                <c:formatCode>General</c:formatCode>
                <c:ptCount val="43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300</c:v>
                </c:pt>
                <c:pt idx="4">
                  <c:v>400</c:v>
                </c:pt>
                <c:pt idx="5">
                  <c:v>500</c:v>
                </c:pt>
                <c:pt idx="6">
                  <c:v>600</c:v>
                </c:pt>
                <c:pt idx="7">
                  <c:v>700</c:v>
                </c:pt>
                <c:pt idx="8">
                  <c:v>800</c:v>
                </c:pt>
                <c:pt idx="9">
                  <c:v>900</c:v>
                </c:pt>
                <c:pt idx="10">
                  <c:v>1000</c:v>
                </c:pt>
                <c:pt idx="11">
                  <c:v>1100</c:v>
                </c:pt>
                <c:pt idx="12">
                  <c:v>1200</c:v>
                </c:pt>
                <c:pt idx="13">
                  <c:v>300</c:v>
                </c:pt>
                <c:pt idx="14">
                  <c:v>400</c:v>
                </c:pt>
                <c:pt idx="15">
                  <c:v>500</c:v>
                </c:pt>
                <c:pt idx="16">
                  <c:v>600</c:v>
                </c:pt>
                <c:pt idx="17">
                  <c:v>700</c:v>
                </c:pt>
                <c:pt idx="18">
                  <c:v>800</c:v>
                </c:pt>
                <c:pt idx="19">
                  <c:v>900</c:v>
                </c:pt>
                <c:pt idx="20">
                  <c:v>1000</c:v>
                </c:pt>
                <c:pt idx="21">
                  <c:v>1100</c:v>
                </c:pt>
                <c:pt idx="22">
                  <c:v>1200</c:v>
                </c:pt>
                <c:pt idx="23">
                  <c:v>300</c:v>
                </c:pt>
                <c:pt idx="24">
                  <c:v>400</c:v>
                </c:pt>
                <c:pt idx="25">
                  <c:v>500</c:v>
                </c:pt>
                <c:pt idx="26">
                  <c:v>600</c:v>
                </c:pt>
                <c:pt idx="27">
                  <c:v>700</c:v>
                </c:pt>
                <c:pt idx="28">
                  <c:v>800</c:v>
                </c:pt>
                <c:pt idx="29">
                  <c:v>900</c:v>
                </c:pt>
                <c:pt idx="30">
                  <c:v>1000</c:v>
                </c:pt>
                <c:pt idx="31">
                  <c:v>1100</c:v>
                </c:pt>
                <c:pt idx="32">
                  <c:v>1200</c:v>
                </c:pt>
                <c:pt idx="33">
                  <c:v>300</c:v>
                </c:pt>
                <c:pt idx="34">
                  <c:v>400</c:v>
                </c:pt>
                <c:pt idx="35">
                  <c:v>500</c:v>
                </c:pt>
                <c:pt idx="36">
                  <c:v>600</c:v>
                </c:pt>
                <c:pt idx="37">
                  <c:v>700</c:v>
                </c:pt>
                <c:pt idx="38">
                  <c:v>800</c:v>
                </c:pt>
                <c:pt idx="39">
                  <c:v>900</c:v>
                </c:pt>
                <c:pt idx="40">
                  <c:v>1000</c:v>
                </c:pt>
                <c:pt idx="41">
                  <c:v>1100</c:v>
                </c:pt>
                <c:pt idx="42">
                  <c:v>1200</c:v>
                </c:pt>
              </c:numCache>
            </c:numRef>
          </c:xVal>
          <c:yVal>
            <c:numRef>
              <c:f>'6.5'!$G$5:$G$17</c:f>
              <c:numCache>
                <c:formatCode>0.00</c:formatCode>
                <c:ptCount val="13"/>
                <c:pt idx="0">
                  <c:v>0.13</c:v>
                </c:pt>
                <c:pt idx="1">
                  <c:v>0.17902660936367443</c:v>
                </c:pt>
                <c:pt idx="2">
                  <c:v>0.24654251430964369</c:v>
                </c:pt>
                <c:pt idx="3">
                  <c:v>0.33952054154500533</c:v>
                </c:pt>
                <c:pt idx="4">
                  <c:v>0.46756316432400663</c:v>
                </c:pt>
                <c:pt idx="5">
                  <c:v>0.64389421517136491</c:v>
                </c:pt>
                <c:pt idx="6">
                  <c:v>0.88672460100779771</c:v>
                </c:pt>
                <c:pt idx="7">
                  <c:v>1.221133067367562</c:v>
                </c:pt>
                <c:pt idx="8">
                  <c:v>1.6816562510205999</c:v>
                </c:pt>
                <c:pt idx="9">
                  <c:v>2.3158555133495868</c:v>
                </c:pt>
                <c:pt idx="10">
                  <c:v>3.1892289256242159</c:v>
                </c:pt>
                <c:pt idx="11">
                  <c:v>4.3919757003004429</c:v>
                </c:pt>
                <c:pt idx="12">
                  <c:v>6.0483116771725989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124-40C3-A67E-13EBEF0CCE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3444888"/>
        <c:axId val="243445280"/>
      </c:scatterChart>
      <c:valAx>
        <c:axId val="243444888"/>
        <c:scaling>
          <c:orientation val="minMax"/>
          <c:max val="1200"/>
        </c:scaling>
        <c:delete val="0"/>
        <c:axPos val="b"/>
        <c:majorGridlines>
          <c:spPr>
            <a:ln w="6350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243445280"/>
        <c:crosses val="autoZero"/>
        <c:crossBetween val="midCat"/>
      </c:valAx>
      <c:valAx>
        <c:axId val="243445280"/>
        <c:scaling>
          <c:orientation val="minMax"/>
          <c:max val="8"/>
          <c:min val="0"/>
        </c:scaling>
        <c:delete val="0"/>
        <c:axPos val="l"/>
        <c:majorGridlines>
          <c:spPr>
            <a:ln w="6350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2434448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9.xml"/><Relationship Id="rId3" Type="http://schemas.openxmlformats.org/officeDocument/2006/relationships/chart" Target="../charts/chart14.xml"/><Relationship Id="rId7" Type="http://schemas.openxmlformats.org/officeDocument/2006/relationships/chart" Target="../charts/chart18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Relationship Id="rId6" Type="http://schemas.openxmlformats.org/officeDocument/2006/relationships/chart" Target="../charts/chart17.xml"/><Relationship Id="rId5" Type="http://schemas.openxmlformats.org/officeDocument/2006/relationships/chart" Target="../charts/chart16.xml"/><Relationship Id="rId4" Type="http://schemas.openxmlformats.org/officeDocument/2006/relationships/chart" Target="../charts/chart1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79375</xdr:colOff>
      <xdr:row>11</xdr:row>
      <xdr:rowOff>22225</xdr:rowOff>
    </xdr:from>
    <xdr:to>
      <xdr:col>10</xdr:col>
      <xdr:colOff>508000</xdr:colOff>
      <xdr:row>25</xdr:row>
      <xdr:rowOff>139700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0.08659</cdr:x>
      <cdr:y>0.04326</cdr:y>
    </cdr:from>
    <cdr:to>
      <cdr:x>0.3876</cdr:x>
      <cdr:y>0.21443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67852" y="121477"/>
          <a:ext cx="1278666" cy="480651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19050">
          <a:solidFill>
            <a:schemeClr val="bg1">
              <a:lumMod val="65000"/>
            </a:schemeClr>
          </a:solidFill>
          <a:round/>
        </a:ln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uk-UA" sz="1200" b="0"/>
            <a:t>Теплопровідність</a:t>
          </a:r>
        </a:p>
        <a:p xmlns:a="http://schemas.openxmlformats.org/drawingml/2006/main">
          <a:r>
            <a:rPr lang="uk-UA" sz="1200" b="0"/>
            <a:t>у вологих умовах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3733</xdr:colOff>
      <xdr:row>32</xdr:row>
      <xdr:rowOff>55283</xdr:rowOff>
    </xdr:from>
    <xdr:to>
      <xdr:col>18</xdr:col>
      <xdr:colOff>1086</xdr:colOff>
      <xdr:row>50</xdr:row>
      <xdr:rowOff>23872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22412</xdr:colOff>
      <xdr:row>4</xdr:row>
      <xdr:rowOff>104588</xdr:rowOff>
    </xdr:from>
    <xdr:to>
      <xdr:col>18</xdr:col>
      <xdr:colOff>19765</xdr:colOff>
      <xdr:row>22</xdr:row>
      <xdr:rowOff>73176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0.11339</cdr:x>
      <cdr:y>0.07421</cdr:y>
    </cdr:from>
    <cdr:to>
      <cdr:x>0.34907</cdr:x>
      <cdr:y>0.22566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71500" y="247150"/>
          <a:ext cx="1187824" cy="504391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12700">
          <a:solidFill>
            <a:schemeClr val="bg1">
              <a:lumMod val="75000"/>
            </a:schemeClr>
          </a:solidFill>
        </a:ln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uk-UA" sz="1200" b="1"/>
            <a:t>Розрахунковий</a:t>
          </a:r>
        </a:p>
        <a:p xmlns:a="http://schemas.openxmlformats.org/drawingml/2006/main">
          <a:r>
            <a:rPr lang="uk-UA" sz="1200" b="1"/>
            <a:t>опір, МПа</a:t>
          </a:r>
        </a:p>
      </cdr:txBody>
    </cdr:sp>
  </cdr:relSizeAnchor>
  <cdr:relSizeAnchor xmlns:cdr="http://schemas.openxmlformats.org/drawingml/2006/chartDrawing">
    <cdr:from>
      <cdr:x>0.6144</cdr:x>
      <cdr:y>0.79687</cdr:y>
    </cdr:from>
    <cdr:to>
      <cdr:x>0.93012</cdr:x>
      <cdr:y>0.87388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3096558" y="2653862"/>
          <a:ext cx="1591236" cy="256471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12700">
          <a:noFill/>
        </a:ln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uk-UA" sz="1200" b="1"/>
            <a:t>Густина бетону,</a:t>
          </a:r>
          <a:r>
            <a:rPr lang="uk-UA" sz="1200" b="1" baseline="0"/>
            <a:t> кг/м</a:t>
          </a:r>
          <a:r>
            <a:rPr lang="uk-UA" sz="1200" b="1" baseline="30000"/>
            <a:t>3</a:t>
          </a: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0.1045</cdr:x>
      <cdr:y>0.0473</cdr:y>
    </cdr:from>
    <cdr:to>
      <cdr:x>0.34018</cdr:x>
      <cdr:y>0.18843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26672" y="157520"/>
          <a:ext cx="1187827" cy="470009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12700">
          <a:solidFill>
            <a:schemeClr val="bg1">
              <a:lumMod val="75000"/>
            </a:schemeClr>
          </a:solidFill>
        </a:ln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uk-UA" sz="1200" b="1"/>
            <a:t>Розрахунковий</a:t>
          </a:r>
        </a:p>
        <a:p xmlns:a="http://schemas.openxmlformats.org/drawingml/2006/main">
          <a:r>
            <a:rPr lang="uk-UA" sz="1200" b="1"/>
            <a:t>опір, МПа</a:t>
          </a:r>
        </a:p>
      </cdr:txBody>
    </cdr:sp>
  </cdr:relSizeAnchor>
  <cdr:relSizeAnchor xmlns:cdr="http://schemas.openxmlformats.org/drawingml/2006/chartDrawing">
    <cdr:from>
      <cdr:x>0.62477</cdr:x>
      <cdr:y>0.81033</cdr:y>
    </cdr:from>
    <cdr:to>
      <cdr:x>0.94049</cdr:x>
      <cdr:y>0.88734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3148852" y="2771330"/>
          <a:ext cx="1591236" cy="263374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12700">
          <a:noFill/>
        </a:ln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uk-UA" sz="1200" b="1"/>
            <a:t>Густина бетону,</a:t>
          </a:r>
          <a:r>
            <a:rPr lang="uk-UA" sz="1200" b="1" baseline="0"/>
            <a:t> кг/м</a:t>
          </a:r>
          <a:r>
            <a:rPr lang="uk-UA" sz="1200" b="1" baseline="30000"/>
            <a:t>3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405848</xdr:colOff>
      <xdr:row>1</xdr:row>
      <xdr:rowOff>157920</xdr:rowOff>
    </xdr:from>
    <xdr:to>
      <xdr:col>14</xdr:col>
      <xdr:colOff>419848</xdr:colOff>
      <xdr:row>14</xdr:row>
      <xdr:rowOff>161170</xdr:rowOff>
    </xdr:to>
    <xdr:graphicFrame macro="">
      <xdr:nvGraphicFramePr>
        <xdr:cNvPr id="15" name="Диаграмма 14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396185</xdr:colOff>
      <xdr:row>16</xdr:row>
      <xdr:rowOff>9663</xdr:rowOff>
    </xdr:from>
    <xdr:to>
      <xdr:col>14</xdr:col>
      <xdr:colOff>416812</xdr:colOff>
      <xdr:row>29</xdr:row>
      <xdr:rowOff>88837</xdr:rowOff>
    </xdr:to>
    <xdr:graphicFrame macro="">
      <xdr:nvGraphicFramePr>
        <xdr:cNvPr id="17" name="Диаграмма 16">
          <a:extLst>
            <a:ext uri="{FF2B5EF4-FFF2-40B4-BE49-F238E27FC236}">
              <a16:creationId xmlns:a16="http://schemas.microsoft.com/office/drawing/2014/main" id="{00000000-0008-0000-0800-000011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0.09242</cdr:x>
      <cdr:y>0.02256</cdr:y>
    </cdr:from>
    <cdr:to>
      <cdr:x>0.23106</cdr:x>
      <cdr:y>0.1218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59521" y="55218"/>
          <a:ext cx="389283" cy="242956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uk-UA" sz="1100"/>
            <a:t>кг/м</a:t>
          </a:r>
        </a:p>
      </cdr:txBody>
    </cdr:sp>
  </cdr:relSizeAnchor>
  <cdr:relSizeAnchor xmlns:cdr="http://schemas.openxmlformats.org/drawingml/2006/chartDrawing">
    <cdr:from>
      <cdr:x>0.89185</cdr:x>
      <cdr:y>0.90707</cdr:y>
    </cdr:from>
    <cdr:to>
      <cdr:x>0.9783</cdr:x>
      <cdr:y>1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504305" y="2220504"/>
          <a:ext cx="242760" cy="227496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uk-UA" sz="1000"/>
            <a:t>м</a:t>
          </a: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0.11051</cdr:x>
      <cdr:y>0.02481</cdr:y>
    </cdr:from>
    <cdr:to>
      <cdr:x>0.24915</cdr:x>
      <cdr:y>0.12406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10321" y="60739"/>
          <a:ext cx="389283" cy="242956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uk-UA" sz="1100"/>
            <a:t>кг/м</a:t>
          </a:r>
        </a:p>
      </cdr:txBody>
    </cdr:sp>
  </cdr:relSizeAnchor>
  <cdr:relSizeAnchor xmlns:cdr="http://schemas.openxmlformats.org/drawingml/2006/chartDrawing">
    <cdr:from>
      <cdr:x>0.84203</cdr:x>
      <cdr:y>0.89819</cdr:y>
    </cdr:from>
    <cdr:to>
      <cdr:x>0.98066</cdr:x>
      <cdr:y>0.99743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364408" y="2198758"/>
          <a:ext cx="389283" cy="242956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uk-UA" sz="1100"/>
            <a:t>кН/м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549274</xdr:colOff>
      <xdr:row>2</xdr:row>
      <xdr:rowOff>6350</xdr:rowOff>
    </xdr:from>
    <xdr:to>
      <xdr:col>17</xdr:col>
      <xdr:colOff>398874</xdr:colOff>
      <xdr:row>17</xdr:row>
      <xdr:rowOff>124100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6350</xdr:colOff>
      <xdr:row>18</xdr:row>
      <xdr:rowOff>177800</xdr:rowOff>
    </xdr:from>
    <xdr:to>
      <xdr:col>17</xdr:col>
      <xdr:colOff>414750</xdr:colOff>
      <xdr:row>34</xdr:row>
      <xdr:rowOff>111400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12700</xdr:colOff>
      <xdr:row>36</xdr:row>
      <xdr:rowOff>0</xdr:rowOff>
    </xdr:from>
    <xdr:to>
      <xdr:col>17</xdr:col>
      <xdr:colOff>421100</xdr:colOff>
      <xdr:row>51</xdr:row>
      <xdr:rowOff>117750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294368</xdr:colOff>
      <xdr:row>36</xdr:row>
      <xdr:rowOff>183242</xdr:rowOff>
    </xdr:from>
    <xdr:to>
      <xdr:col>4</xdr:col>
      <xdr:colOff>57833</xdr:colOff>
      <xdr:row>45</xdr:row>
      <xdr:rowOff>19750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263071</xdr:colOff>
      <xdr:row>46</xdr:row>
      <xdr:rowOff>169636</xdr:rowOff>
    </xdr:from>
    <xdr:to>
      <xdr:col>4</xdr:col>
      <xdr:colOff>14743</xdr:colOff>
      <xdr:row>55</xdr:row>
      <xdr:rowOff>8865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273050</xdr:colOff>
      <xdr:row>55</xdr:row>
      <xdr:rowOff>169636</xdr:rowOff>
    </xdr:from>
    <xdr:to>
      <xdr:col>4</xdr:col>
      <xdr:colOff>37422</xdr:colOff>
      <xdr:row>64</xdr:row>
      <xdr:rowOff>27008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544286</xdr:colOff>
      <xdr:row>52</xdr:row>
      <xdr:rowOff>9072</xdr:rowOff>
    </xdr:from>
    <xdr:to>
      <xdr:col>14</xdr:col>
      <xdr:colOff>558286</xdr:colOff>
      <xdr:row>65</xdr:row>
      <xdr:rowOff>140565</xdr:rowOff>
    </xdr:to>
    <xdr:graphicFrame macro="">
      <xdr:nvGraphicFramePr>
        <xdr:cNvPr id="10" name="Диаграмма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99787</xdr:colOff>
      <xdr:row>52</xdr:row>
      <xdr:rowOff>36286</xdr:rowOff>
    </xdr:from>
    <xdr:to>
      <xdr:col>20</xdr:col>
      <xdr:colOff>113787</xdr:colOff>
      <xdr:row>65</xdr:row>
      <xdr:rowOff>162336</xdr:rowOff>
    </xdr:to>
    <xdr:graphicFrame macro="">
      <xdr:nvGraphicFramePr>
        <xdr:cNvPr id="13" name="Диаграмма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0.09187</cdr:x>
      <cdr:y>0.03528</cdr:y>
    </cdr:from>
    <cdr:to>
      <cdr:x>0.4373</cdr:x>
      <cdr:y>0.22269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96876" y="101600"/>
          <a:ext cx="1492250" cy="53975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19050">
          <a:solidFill>
            <a:schemeClr val="bg1">
              <a:lumMod val="65000"/>
            </a:schemeClr>
          </a:solidFill>
          <a:round/>
        </a:ln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uk-UA" sz="1400" b="0"/>
            <a:t>Теплопровідність</a:t>
          </a:r>
        </a:p>
        <a:p xmlns:a="http://schemas.openxmlformats.org/drawingml/2006/main">
          <a:r>
            <a:rPr lang="uk-UA" sz="1400" b="0"/>
            <a:t>сухого матеріалу</a:t>
          </a: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0.08525</cdr:x>
      <cdr:y>0.03748</cdr:y>
    </cdr:from>
    <cdr:to>
      <cdr:x>0.47625</cdr:x>
      <cdr:y>0.2249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68300" y="107950"/>
          <a:ext cx="1689100" cy="53975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19050">
          <a:solidFill>
            <a:schemeClr val="bg1">
              <a:lumMod val="65000"/>
            </a:schemeClr>
          </a:solidFill>
          <a:round/>
        </a:ln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uk-UA" sz="1400" b="0"/>
            <a:t>Теплопровідність у</a:t>
          </a:r>
        </a:p>
        <a:p xmlns:a="http://schemas.openxmlformats.org/drawingml/2006/main">
          <a:r>
            <a:rPr lang="uk-UA" sz="1400" b="0"/>
            <a:t>нормальних умовах</a:t>
          </a: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0.13505</cdr:x>
      <cdr:y>0.0034</cdr:y>
    </cdr:from>
    <cdr:to>
      <cdr:x>0.25269</cdr:x>
      <cdr:y>0.1268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C53B650-745C-4510-AB86-34CE618F01ED}"/>
            </a:ext>
          </a:extLst>
        </cdr:cNvPr>
        <cdr:cNvSpPr txBox="1"/>
      </cdr:nvSpPr>
      <cdr:spPr>
        <a:xfrm xmlns:a="http://schemas.openxmlformats.org/drawingml/2006/main">
          <a:off x="517525" y="8256"/>
          <a:ext cx="450850" cy="299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 b="1" i="1"/>
            <a:t>f(x)</a:t>
          </a:r>
          <a:endParaRPr lang="uk-UA" sz="1400" b="1" i="1"/>
        </a:p>
      </cdr:txBody>
    </cdr:sp>
  </cdr:relSizeAnchor>
  <cdr:relSizeAnchor xmlns:cdr="http://schemas.openxmlformats.org/drawingml/2006/chartDrawing">
    <cdr:from>
      <cdr:x>0.93538</cdr:x>
      <cdr:y>0.7098</cdr:y>
    </cdr:from>
    <cdr:to>
      <cdr:x>1</cdr:x>
      <cdr:y>0.81699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4F9F4298-D339-4470-BD61-3B9384932CC9}"/>
            </a:ext>
          </a:extLst>
        </cdr:cNvPr>
        <cdr:cNvSpPr txBox="1"/>
      </cdr:nvSpPr>
      <cdr:spPr>
        <a:xfrm xmlns:a="http://schemas.openxmlformats.org/drawingml/2006/main">
          <a:off x="3584575" y="1724025"/>
          <a:ext cx="247650" cy="2603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 b="1" i="1"/>
            <a:t>x</a:t>
          </a:r>
          <a:endParaRPr lang="uk-UA" sz="1400" b="1" i="1"/>
        </a:p>
      </cdr:txBody>
    </cdr:sp>
  </cdr:relSizeAnchor>
  <cdr:relSizeAnchor xmlns:cdr="http://schemas.openxmlformats.org/drawingml/2006/chartDrawing">
    <cdr:from>
      <cdr:x>0.70008</cdr:x>
      <cdr:y>0.05098</cdr:y>
    </cdr:from>
    <cdr:to>
      <cdr:x>0.99503</cdr:x>
      <cdr:y>0.31503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C81A766A-7737-4F64-AA09-96F5AA85EB0D}"/>
            </a:ext>
          </a:extLst>
        </cdr:cNvPr>
        <cdr:cNvSpPr txBox="1"/>
      </cdr:nvSpPr>
      <cdr:spPr>
        <a:xfrm xmlns:a="http://schemas.openxmlformats.org/drawingml/2006/main">
          <a:off x="2682875" y="123825"/>
          <a:ext cx="1130300" cy="641350"/>
        </a:xfrm>
        <a:prstGeom xmlns:a="http://schemas.openxmlformats.org/drawingml/2006/main" prst="rect">
          <a:avLst/>
        </a:prstGeom>
        <a:ln xmlns:a="http://schemas.openxmlformats.org/drawingml/2006/main" w="12700"/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uk-UA" sz="1100"/>
            <a:t>Густина </a:t>
          </a:r>
        </a:p>
        <a:p xmlns:a="http://schemas.openxmlformats.org/drawingml/2006/main">
          <a:r>
            <a:rPr lang="uk-UA" sz="1100"/>
            <a:t>нормального</a:t>
          </a:r>
        </a:p>
        <a:p xmlns:a="http://schemas.openxmlformats.org/drawingml/2006/main">
          <a:r>
            <a:rPr lang="uk-UA" sz="1100"/>
            <a:t> розподілу</a:t>
          </a:r>
          <a:r>
            <a:rPr lang="uk-UA" sz="1100" baseline="0"/>
            <a:t> (2.17)</a:t>
          </a:r>
          <a:endParaRPr lang="uk-UA" sz="1100"/>
        </a:p>
      </cdr:txBody>
    </cdr:sp>
  </cdr:relSizeAnchor>
  <cdr:relSizeAnchor xmlns:cdr="http://schemas.openxmlformats.org/drawingml/2006/chartDrawing">
    <cdr:from>
      <cdr:x>0.715</cdr:x>
      <cdr:y>0.31503</cdr:y>
    </cdr:from>
    <cdr:to>
      <cdr:x>0.84756</cdr:x>
      <cdr:y>0.52418</cdr:y>
    </cdr:to>
    <cdr:cxnSp macro="">
      <cdr:nvCxnSpPr>
        <cdr:cNvPr id="6" name="Прямая соединительная линия 5">
          <a:extLst xmlns:a="http://schemas.openxmlformats.org/drawingml/2006/main">
            <a:ext uri="{FF2B5EF4-FFF2-40B4-BE49-F238E27FC236}">
              <a16:creationId xmlns:a16="http://schemas.microsoft.com/office/drawing/2014/main" id="{AFF39037-4438-46A7-A638-577AC1F018A7}"/>
            </a:ext>
          </a:extLst>
        </cdr:cNvPr>
        <cdr:cNvCxnSpPr>
          <a:stCxn xmlns:a="http://schemas.openxmlformats.org/drawingml/2006/main" id="4" idx="2"/>
        </cdr:cNvCxnSpPr>
      </cdr:nvCxnSpPr>
      <cdr:spPr>
        <a:xfrm xmlns:a="http://schemas.openxmlformats.org/drawingml/2006/main" flipH="1">
          <a:off x="2740025" y="765175"/>
          <a:ext cx="508000" cy="508000"/>
        </a:xfrm>
        <a:prstGeom xmlns:a="http://schemas.openxmlformats.org/drawingml/2006/main" prst="line">
          <a:avLst/>
        </a:prstGeom>
        <a:ln xmlns:a="http://schemas.openxmlformats.org/drawingml/2006/main"/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0.08378</cdr:x>
      <cdr:y>0.03715</cdr:y>
    </cdr:from>
    <cdr:to>
      <cdr:x>0.42921</cdr:x>
      <cdr:y>0.22293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61950" y="107950"/>
          <a:ext cx="1492250" cy="53975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19050">
          <a:solidFill>
            <a:schemeClr val="bg1">
              <a:lumMod val="65000"/>
            </a:schemeClr>
          </a:solidFill>
          <a:round/>
        </a:ln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uk-UA" sz="1400" b="0"/>
            <a:t>Теплопровідність</a:t>
          </a:r>
        </a:p>
        <a:p xmlns:a="http://schemas.openxmlformats.org/drawingml/2006/main">
          <a:r>
            <a:rPr lang="uk-UA" sz="1400" b="0"/>
            <a:t>у вологих умовах</a:t>
          </a: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0.09701</cdr:x>
      <cdr:y>0</cdr:y>
    </cdr:from>
    <cdr:to>
      <cdr:x>0.53093</cdr:x>
      <cdr:y>0.29818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74625" y="0"/>
          <a:ext cx="781050" cy="450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uk-UA" sz="1000"/>
            <a:t>Сухий</a:t>
          </a:r>
          <a:r>
            <a:rPr lang="uk-UA" sz="1100"/>
            <a:t> </a:t>
          </a:r>
        </a:p>
        <a:p xmlns:a="http://schemas.openxmlformats.org/drawingml/2006/main">
          <a:r>
            <a:rPr lang="uk-UA" sz="1100"/>
            <a:t>матеріал</a:t>
          </a: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0.12347</cdr:x>
      <cdr:y>0.0294</cdr:y>
    </cdr:from>
    <cdr:to>
      <cdr:x>0.55739</cdr:x>
      <cdr:y>0.32758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22250" y="44450"/>
          <a:ext cx="781050" cy="450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uk-UA" sz="1000"/>
            <a:t>Нормальні</a:t>
          </a:r>
          <a:r>
            <a:rPr lang="uk-UA" sz="1100"/>
            <a:t> </a:t>
          </a:r>
        </a:p>
        <a:p xmlns:a="http://schemas.openxmlformats.org/drawingml/2006/main">
          <a:r>
            <a:rPr lang="uk-UA" sz="1100"/>
            <a:t>умови</a:t>
          </a: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0.12347</cdr:x>
      <cdr:y>0.0168</cdr:y>
    </cdr:from>
    <cdr:to>
      <cdr:x>0.55739</cdr:x>
      <cdr:y>0.31498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22250" y="25400"/>
          <a:ext cx="781050" cy="450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uk-UA" sz="1100"/>
            <a:t>Вологі </a:t>
          </a:r>
        </a:p>
        <a:p xmlns:a="http://schemas.openxmlformats.org/drawingml/2006/main">
          <a:r>
            <a:rPr lang="uk-UA" sz="1100"/>
            <a:t>умови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0.45906</cdr:x>
      <cdr:y>0.59776</cdr:y>
    </cdr:from>
    <cdr:to>
      <cdr:x>0.92039</cdr:x>
      <cdr:y>0.78885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289050" y="1549400"/>
          <a:ext cx="1295400" cy="49530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uk-UA" sz="1200" b="1"/>
            <a:t>Теплопровідність</a:t>
          </a:r>
        </a:p>
        <a:p xmlns:a="http://schemas.openxmlformats.org/drawingml/2006/main">
          <a:r>
            <a:rPr lang="uk-UA" sz="1200" b="1"/>
            <a:t> в сухому стані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0.44776</cdr:x>
      <cdr:y>0.59776</cdr:y>
    </cdr:from>
    <cdr:to>
      <cdr:x>0.92039</cdr:x>
      <cdr:y>0.78885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257300" y="1549394"/>
          <a:ext cx="1327155" cy="495305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uk-UA" sz="1200" b="1"/>
            <a:t>Теплопровідність</a:t>
          </a:r>
        </a:p>
        <a:p xmlns:a="http://schemas.openxmlformats.org/drawingml/2006/main">
          <a:r>
            <a:rPr lang="uk-UA" sz="1200" b="1"/>
            <a:t> у вологих умовах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173990</xdr:colOff>
      <xdr:row>13</xdr:row>
      <xdr:rowOff>130810</xdr:rowOff>
    </xdr:from>
    <xdr:to>
      <xdr:col>10</xdr:col>
      <xdr:colOff>512540</xdr:colOff>
      <xdr:row>29</xdr:row>
      <xdr:rowOff>64410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0.81013</cdr:x>
      <cdr:y>0.71731</cdr:y>
    </cdr:from>
    <cdr:to>
      <cdr:x>1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080510" y="258699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uk-UA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542925</xdr:colOff>
      <xdr:row>12</xdr:row>
      <xdr:rowOff>19050</xdr:rowOff>
    </xdr:from>
    <xdr:to>
      <xdr:col>19</xdr:col>
      <xdr:colOff>392525</xdr:colOff>
      <xdr:row>27</xdr:row>
      <xdr:rowOff>136800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3175</xdr:colOff>
      <xdr:row>2</xdr:row>
      <xdr:rowOff>177800</xdr:rowOff>
    </xdr:from>
    <xdr:to>
      <xdr:col>17</xdr:col>
      <xdr:colOff>411575</xdr:colOff>
      <xdr:row>18</xdr:row>
      <xdr:rowOff>111400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73024</xdr:colOff>
      <xdr:row>1</xdr:row>
      <xdr:rowOff>88900</xdr:rowOff>
    </xdr:from>
    <xdr:to>
      <xdr:col>17</xdr:col>
      <xdr:colOff>339200</xdr:colOff>
      <xdr:row>16</xdr:row>
      <xdr:rowOff>95429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556932</xdr:colOff>
      <xdr:row>17</xdr:row>
      <xdr:rowOff>176679</xdr:rowOff>
    </xdr:from>
    <xdr:to>
      <xdr:col>17</xdr:col>
      <xdr:colOff>262814</xdr:colOff>
      <xdr:row>32</xdr:row>
      <xdr:rowOff>183209</xdr:rowOff>
    </xdr:to>
    <xdr:graphicFrame macro="">
      <xdr:nvGraphicFramePr>
        <xdr:cNvPr id="11" name="Диаграмма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109070</xdr:colOff>
      <xdr:row>33</xdr:row>
      <xdr:rowOff>167342</xdr:rowOff>
    </xdr:from>
    <xdr:to>
      <xdr:col>17</xdr:col>
      <xdr:colOff>375246</xdr:colOff>
      <xdr:row>48</xdr:row>
      <xdr:rowOff>166401</xdr:rowOff>
    </xdr:to>
    <xdr:graphicFrame macro="">
      <xdr:nvGraphicFramePr>
        <xdr:cNvPr id="12" name="Диаграмма 1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0.08132</cdr:x>
      <cdr:y>0.04592</cdr:y>
    </cdr:from>
    <cdr:to>
      <cdr:x>0.38201</cdr:x>
      <cdr:y>0.21576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45440" y="128948"/>
          <a:ext cx="1277359" cy="476918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19050">
          <a:solidFill>
            <a:schemeClr val="bg1">
              <a:lumMod val="65000"/>
            </a:schemeClr>
          </a:solidFill>
          <a:round/>
        </a:ln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uk-UA" sz="1200" b="0"/>
            <a:t>Теплопровідність</a:t>
          </a:r>
        </a:p>
        <a:p xmlns:a="http://schemas.openxmlformats.org/drawingml/2006/main">
          <a:r>
            <a:rPr lang="uk-UA" sz="1200" b="0"/>
            <a:t>сухого матеріалу</a:t>
          </a: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0.08308</cdr:x>
      <cdr:y>0.05124</cdr:y>
    </cdr:from>
    <cdr:to>
      <cdr:x>0.4211</cdr:x>
      <cdr:y>0.22573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51724" y="140393"/>
          <a:ext cx="1431091" cy="47805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19050">
          <a:solidFill>
            <a:schemeClr val="bg1">
              <a:lumMod val="65000"/>
            </a:schemeClr>
          </a:solidFill>
          <a:round/>
        </a:ln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uk-UA" sz="1200" b="0"/>
            <a:t>Теплопровідність в</a:t>
          </a:r>
        </a:p>
        <a:p xmlns:a="http://schemas.openxmlformats.org/drawingml/2006/main">
          <a:r>
            <a:rPr lang="uk-UA" sz="1200" b="0"/>
            <a:t>нормальних умовах</a:t>
          </a:r>
        </a:p>
      </cdr:txBody>
    </cdr:sp>
  </cdr:relSizeAnchor>
</c:userShape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4"/>
  <sheetViews>
    <sheetView tabSelected="1" zoomScale="70" zoomScaleNormal="70" workbookViewId="0">
      <selection activeCell="Q1" sqref="Q1"/>
    </sheetView>
  </sheetViews>
  <sheetFormatPr defaultRowHeight="13" x14ac:dyDescent="0.3"/>
  <cols>
    <col min="8" max="8" width="9.59765625" bestFit="1" customWidth="1"/>
    <col min="11" max="11" width="11.69921875" bestFit="1" customWidth="1"/>
  </cols>
  <sheetData>
    <row r="1" spans="1:15" ht="18.5" x14ac:dyDescent="0.45">
      <c r="B1" s="24" t="s">
        <v>175</v>
      </c>
    </row>
    <row r="2" spans="1:15" s="1" customFormat="1" x14ac:dyDescent="0.3">
      <c r="A2" s="1" t="s">
        <v>0</v>
      </c>
      <c r="B2" s="1" t="s">
        <v>1</v>
      </c>
      <c r="D2" s="105"/>
      <c r="E2" s="105" t="s">
        <v>174</v>
      </c>
      <c r="F2" s="105"/>
      <c r="H2" s="104" t="s">
        <v>176</v>
      </c>
      <c r="I2" s="12" t="s">
        <v>14</v>
      </c>
      <c r="M2" s="12" t="s">
        <v>15</v>
      </c>
    </row>
    <row r="3" spans="1:15" s="1" customFormat="1" ht="15" x14ac:dyDescent="0.3">
      <c r="B3" s="2">
        <f ca="1">$C$28+$C$29*(RAND()+RAND()+RAND()+RAND()+RAND()+RAND()+RAND()+RAND()+RAND()+RAND()+RAND()+RAND()-6)</f>
        <v>0</v>
      </c>
      <c r="D3" s="9">
        <v>14</v>
      </c>
      <c r="E3" s="8">
        <f>FREQUENCY($B$4:$B$23,D3)</f>
        <v>0</v>
      </c>
      <c r="F3" s="6">
        <f>E3/20</f>
        <v>0</v>
      </c>
      <c r="G3" s="6">
        <f>F3/2</f>
        <v>0</v>
      </c>
      <c r="H3" s="7">
        <f>NORMDIST(D3-1,$B$28,$B$29,0)</f>
        <v>2.6688718546312219E-3</v>
      </c>
      <c r="I3" s="7">
        <f>NORMDIST(D3,$B$28,$B$29,1)</f>
        <v>7.0717425493153482E-3</v>
      </c>
      <c r="J3" s="8"/>
      <c r="M3" s="1" t="s">
        <v>171</v>
      </c>
      <c r="N3" s="1" t="s">
        <v>172</v>
      </c>
      <c r="O3" s="1" t="s">
        <v>173</v>
      </c>
    </row>
    <row r="4" spans="1:15" x14ac:dyDescent="0.3">
      <c r="A4">
        <v>1</v>
      </c>
      <c r="B4" s="2">
        <v>20.3</v>
      </c>
      <c r="D4" s="9">
        <v>16</v>
      </c>
      <c r="E4" s="10">
        <f>FREQUENCY($B$4:$B$23,D4)-FREQUENCY($B$4:$B$23,D3)</f>
        <v>1</v>
      </c>
      <c r="F4" s="6">
        <f t="shared" ref="F4:F10" si="0">E4/20</f>
        <v>0.05</v>
      </c>
      <c r="G4" s="6">
        <f t="shared" ref="G4:G10" si="1">F4/2</f>
        <v>2.5000000000000001E-2</v>
      </c>
      <c r="H4" s="7">
        <f t="shared" ref="H4:H10" si="2">NORMDIST(D4-1,$B$28,$B$29,0)</f>
        <v>2.3072485139866351E-2</v>
      </c>
      <c r="I4" s="7">
        <f t="shared" ref="I4:I10" si="3">NORMDIST(D4,$B$28,$B$29,1)</f>
        <v>5.7687392009707912E-2</v>
      </c>
      <c r="J4" s="11">
        <f>I4-I3</f>
        <v>5.0615649460392563E-2</v>
      </c>
      <c r="K4" s="5">
        <f>20*(F4-J4)^2/J4</f>
        <v>1.4976564051726423E-4</v>
      </c>
      <c r="M4" s="2">
        <f>(D4+D3)/2</f>
        <v>15</v>
      </c>
      <c r="N4" s="2">
        <f>M4*F4</f>
        <v>0.75</v>
      </c>
      <c r="O4">
        <f>F4*(M4-$N$11)^2</f>
        <v>1.0580000000000007</v>
      </c>
    </row>
    <row r="5" spans="1:15" x14ac:dyDescent="0.3">
      <c r="A5">
        <v>2</v>
      </c>
      <c r="B5" s="2">
        <v>18</v>
      </c>
      <c r="D5" s="9">
        <v>18</v>
      </c>
      <c r="E5" s="8">
        <f t="shared" ref="E5:E10" si="4">FREQUENCY($B$4:$B$23,D5)-FREQUENCY($B$4:$B$23,D4)</f>
        <v>4</v>
      </c>
      <c r="F5" s="6">
        <f t="shared" si="0"/>
        <v>0.2</v>
      </c>
      <c r="G5" s="6">
        <f t="shared" si="1"/>
        <v>0.1</v>
      </c>
      <c r="H5" s="7">
        <f t="shared" si="2"/>
        <v>9.2092162591738372E-2</v>
      </c>
      <c r="I5" s="7">
        <f t="shared" si="3"/>
        <v>0.24340963618895639</v>
      </c>
      <c r="J5" s="11">
        <f t="shared" ref="J5:J9" si="5">I5-I4</f>
        <v>0.18572224417924849</v>
      </c>
      <c r="K5" s="5">
        <f t="shared" ref="K5:K9" si="6">20*(F5-J5)^2/J5</f>
        <v>2.1952600473668146E-2</v>
      </c>
      <c r="M5" s="2">
        <f t="shared" ref="M5:M9" si="7">(D5+D4)/2</f>
        <v>17</v>
      </c>
      <c r="N5" s="2">
        <f t="shared" ref="N5:N9" si="8">M5*F5</f>
        <v>3.4000000000000004</v>
      </c>
      <c r="O5">
        <f t="shared" ref="O5:O9" si="9">F5*(M5-$N$11)^2</f>
        <v>1.3520000000000016</v>
      </c>
    </row>
    <row r="6" spans="1:15" x14ac:dyDescent="0.3">
      <c r="A6">
        <v>3</v>
      </c>
      <c r="B6" s="2">
        <v>23</v>
      </c>
      <c r="D6" s="9">
        <v>20</v>
      </c>
      <c r="E6" s="10">
        <f t="shared" si="4"/>
        <v>7</v>
      </c>
      <c r="F6" s="6">
        <f t="shared" si="0"/>
        <v>0.35</v>
      </c>
      <c r="G6" s="6">
        <f t="shared" si="1"/>
        <v>0.17499999999999999</v>
      </c>
      <c r="H6" s="7">
        <f t="shared" si="2"/>
        <v>0.16971202349992567</v>
      </c>
      <c r="I6" s="7">
        <f t="shared" si="3"/>
        <v>0.57288899789067527</v>
      </c>
      <c r="J6" s="11">
        <f t="shared" si="5"/>
        <v>0.32947936170171888</v>
      </c>
      <c r="K6" s="5">
        <f t="shared" si="6"/>
        <v>2.5561333735380016E-2</v>
      </c>
      <c r="M6" s="2">
        <f t="shared" si="7"/>
        <v>19</v>
      </c>
      <c r="N6" s="2">
        <f t="shared" si="8"/>
        <v>6.6499999999999995</v>
      </c>
      <c r="O6">
        <f t="shared" si="9"/>
        <v>0.12600000000000058</v>
      </c>
    </row>
    <row r="7" spans="1:15" x14ac:dyDescent="0.3">
      <c r="A7">
        <v>4</v>
      </c>
      <c r="B7" s="2">
        <v>14.8</v>
      </c>
      <c r="D7" s="9">
        <v>22</v>
      </c>
      <c r="E7" s="10">
        <f t="shared" si="4"/>
        <v>5</v>
      </c>
      <c r="F7" s="6">
        <f t="shared" si="0"/>
        <v>0.25</v>
      </c>
      <c r="G7" s="6">
        <f t="shared" si="1"/>
        <v>0.125</v>
      </c>
      <c r="H7" s="7">
        <f t="shared" si="2"/>
        <v>0.14439900315018886</v>
      </c>
      <c r="I7" s="7">
        <f t="shared" si="3"/>
        <v>0.85607387817329483</v>
      </c>
      <c r="J7" s="11">
        <f t="shared" si="5"/>
        <v>0.28318488028261957</v>
      </c>
      <c r="K7" s="5">
        <f t="shared" si="6"/>
        <v>7.7775076004958671E-2</v>
      </c>
      <c r="M7" s="2">
        <f t="shared" si="7"/>
        <v>21</v>
      </c>
      <c r="N7" s="2">
        <f t="shared" si="8"/>
        <v>5.25</v>
      </c>
      <c r="O7">
        <f t="shared" si="9"/>
        <v>0.48999999999999899</v>
      </c>
    </row>
    <row r="8" spans="1:15" x14ac:dyDescent="0.3">
      <c r="A8">
        <v>5</v>
      </c>
      <c r="B8" s="2">
        <v>22.4</v>
      </c>
      <c r="D8" s="9">
        <v>24</v>
      </c>
      <c r="E8" s="10">
        <f t="shared" si="4"/>
        <v>2</v>
      </c>
      <c r="F8" s="6">
        <f t="shared" si="0"/>
        <v>0.1</v>
      </c>
      <c r="G8" s="6">
        <f t="shared" si="1"/>
        <v>0.05</v>
      </c>
      <c r="H8" s="7">
        <f t="shared" si="2"/>
        <v>5.672538106176598E-2</v>
      </c>
      <c r="I8" s="7">
        <f t="shared" si="3"/>
        <v>0.97392877765169716</v>
      </c>
      <c r="J8" s="11">
        <f t="shared" si="5"/>
        <v>0.11785489947840233</v>
      </c>
      <c r="K8" s="5">
        <f t="shared" si="6"/>
        <v>5.4099988510409501E-2</v>
      </c>
      <c r="M8" s="2">
        <f t="shared" si="7"/>
        <v>23</v>
      </c>
      <c r="N8" s="2">
        <f t="shared" si="8"/>
        <v>2.3000000000000003</v>
      </c>
      <c r="O8">
        <f t="shared" si="9"/>
        <v>1.155999999999999</v>
      </c>
    </row>
    <row r="9" spans="1:15" x14ac:dyDescent="0.3">
      <c r="A9">
        <v>6</v>
      </c>
      <c r="B9" s="2">
        <v>19.8</v>
      </c>
      <c r="D9" s="9">
        <v>26</v>
      </c>
      <c r="E9" s="10">
        <f t="shared" si="4"/>
        <v>1</v>
      </c>
      <c r="F9" s="6">
        <f t="shared" si="0"/>
        <v>0.05</v>
      </c>
      <c r="G9" s="6">
        <f t="shared" si="1"/>
        <v>2.5000000000000001E-2</v>
      </c>
      <c r="H9" s="7">
        <f t="shared" si="2"/>
        <v>1.0288505458266853E-2</v>
      </c>
      <c r="I9" s="7">
        <f t="shared" si="3"/>
        <v>0.99760678750557563</v>
      </c>
      <c r="J9" s="11">
        <f t="shared" si="5"/>
        <v>2.3678009853878468E-2</v>
      </c>
      <c r="K9" s="5">
        <f t="shared" si="6"/>
        <v>0.58522415484089385</v>
      </c>
      <c r="M9" s="2">
        <f t="shared" si="7"/>
        <v>25</v>
      </c>
      <c r="N9" s="2">
        <f t="shared" si="8"/>
        <v>1.25</v>
      </c>
      <c r="O9">
        <f t="shared" si="9"/>
        <v>1.4579999999999993</v>
      </c>
    </row>
    <row r="10" spans="1:15" x14ac:dyDescent="0.3">
      <c r="A10">
        <v>7</v>
      </c>
      <c r="B10" s="2">
        <v>24.4</v>
      </c>
      <c r="D10" s="9">
        <v>28</v>
      </c>
      <c r="E10" s="10">
        <f t="shared" si="4"/>
        <v>0</v>
      </c>
      <c r="F10" s="6">
        <f t="shared" si="0"/>
        <v>0</v>
      </c>
      <c r="G10" s="6">
        <f t="shared" si="1"/>
        <v>0</v>
      </c>
      <c r="H10" s="7">
        <f t="shared" si="2"/>
        <v>8.6156650386563435E-4</v>
      </c>
      <c r="I10" s="7">
        <f t="shared" si="3"/>
        <v>0.99989227565873873</v>
      </c>
      <c r="J10" s="9"/>
      <c r="K10" s="5"/>
      <c r="M10" s="2"/>
      <c r="N10" s="2"/>
    </row>
    <row r="11" spans="1:15" x14ac:dyDescent="0.3">
      <c r="A11">
        <v>8</v>
      </c>
      <c r="B11" s="2">
        <v>18.2</v>
      </c>
      <c r="D11" s="9"/>
      <c r="E11" s="10">
        <f>SUM(E3:E9)</f>
        <v>20</v>
      </c>
      <c r="F11" s="9"/>
      <c r="G11" s="9"/>
      <c r="H11" s="9"/>
      <c r="I11" s="11"/>
      <c r="J11" s="11">
        <f>SUM(J3:J10)</f>
        <v>0.99053504495626032</v>
      </c>
      <c r="K11" s="11">
        <f>SUM(K3:K10)</f>
        <v>0.7647629192058274</v>
      </c>
      <c r="M11" s="2"/>
      <c r="N11" s="11">
        <f>SUM(N3:N10)</f>
        <v>19.600000000000001</v>
      </c>
      <c r="O11" s="11">
        <f>SQRT(SUM(O3:O10))</f>
        <v>2.3748684174075834</v>
      </c>
    </row>
    <row r="12" spans="1:15" x14ac:dyDescent="0.3">
      <c r="A12">
        <v>9</v>
      </c>
      <c r="B12" s="2">
        <v>20.399999999999999</v>
      </c>
      <c r="M12" s="2"/>
      <c r="N12" s="2"/>
    </row>
    <row r="13" spans="1:15" x14ac:dyDescent="0.3">
      <c r="A13">
        <v>10</v>
      </c>
      <c r="B13" s="2">
        <v>18.440000000000001</v>
      </c>
      <c r="M13" s="2"/>
      <c r="N13" s="2"/>
    </row>
    <row r="14" spans="1:15" x14ac:dyDescent="0.3">
      <c r="A14">
        <v>11</v>
      </c>
      <c r="B14" s="2">
        <v>17.7</v>
      </c>
      <c r="M14" s="2"/>
      <c r="N14" s="2"/>
    </row>
    <row r="15" spans="1:15" x14ac:dyDescent="0.3">
      <c r="A15">
        <v>12</v>
      </c>
      <c r="B15" s="2">
        <v>19.3</v>
      </c>
      <c r="M15" s="2"/>
      <c r="N15" s="2"/>
    </row>
    <row r="16" spans="1:15" x14ac:dyDescent="0.3">
      <c r="A16">
        <v>13</v>
      </c>
      <c r="B16" s="2">
        <v>22</v>
      </c>
      <c r="M16" s="2"/>
      <c r="N16" s="2"/>
    </row>
    <row r="17" spans="1:14" x14ac:dyDescent="0.3">
      <c r="A17">
        <v>14</v>
      </c>
      <c r="B17" s="2">
        <v>19.399999999999999</v>
      </c>
      <c r="M17" s="2"/>
      <c r="N17" s="2"/>
    </row>
    <row r="18" spans="1:14" x14ac:dyDescent="0.3">
      <c r="A18">
        <v>15</v>
      </c>
      <c r="B18" s="2">
        <v>20.7</v>
      </c>
      <c r="M18" s="2"/>
      <c r="N18" s="2"/>
    </row>
    <row r="19" spans="1:14" x14ac:dyDescent="0.3">
      <c r="A19">
        <v>16</v>
      </c>
      <c r="B19" s="2">
        <v>20.100000000000001</v>
      </c>
      <c r="M19" s="2"/>
      <c r="N19" s="2"/>
    </row>
    <row r="20" spans="1:14" x14ac:dyDescent="0.3">
      <c r="A20">
        <v>17</v>
      </c>
      <c r="B20" s="2">
        <v>18.899999999999999</v>
      </c>
      <c r="M20" s="2"/>
      <c r="N20" s="2"/>
    </row>
    <row r="21" spans="1:14" x14ac:dyDescent="0.3">
      <c r="A21">
        <v>18</v>
      </c>
      <c r="B21" s="2">
        <v>17.3</v>
      </c>
      <c r="M21" s="2"/>
      <c r="N21" s="2"/>
    </row>
    <row r="22" spans="1:14" x14ac:dyDescent="0.3">
      <c r="A22">
        <v>19</v>
      </c>
      <c r="B22" s="2">
        <v>16.600000000000001</v>
      </c>
      <c r="M22" s="2"/>
      <c r="N22" s="2"/>
    </row>
    <row r="23" spans="1:14" x14ac:dyDescent="0.3">
      <c r="A23">
        <v>20</v>
      </c>
      <c r="B23" s="2">
        <v>19.899999999999999</v>
      </c>
      <c r="M23" s="2"/>
      <c r="N23" s="2"/>
    </row>
    <row r="25" spans="1:14" x14ac:dyDescent="0.3">
      <c r="A25" s="3" t="s">
        <v>2</v>
      </c>
      <c r="B25" s="41">
        <f>COUNT(B4:B23)</f>
        <v>20</v>
      </c>
    </row>
    <row r="26" spans="1:14" x14ac:dyDescent="0.3">
      <c r="A26" s="3" t="s">
        <v>3</v>
      </c>
      <c r="B26" s="42">
        <f>MIN(B4:B23)</f>
        <v>14.8</v>
      </c>
    </row>
    <row r="27" spans="1:14" x14ac:dyDescent="0.3">
      <c r="A27" s="3" t="s">
        <v>4</v>
      </c>
      <c r="B27" s="42">
        <f>MAX(B4:B23)</f>
        <v>24.4</v>
      </c>
    </row>
    <row r="28" spans="1:14" x14ac:dyDescent="0.3">
      <c r="A28" s="3" t="s">
        <v>5</v>
      </c>
      <c r="B28" s="43">
        <f>AVERAGE(B4:B23)</f>
        <v>19.582000000000001</v>
      </c>
      <c r="D28" t="s">
        <v>6</v>
      </c>
    </row>
    <row r="29" spans="1:14" x14ac:dyDescent="0.3">
      <c r="A29" s="3" t="s">
        <v>7</v>
      </c>
      <c r="B29" s="43">
        <f>STDEV(B4:B23)</f>
        <v>2.2750259686198673</v>
      </c>
      <c r="D29" t="s">
        <v>8</v>
      </c>
    </row>
    <row r="30" spans="1:14" x14ac:dyDescent="0.3">
      <c r="A30" s="3" t="s">
        <v>9</v>
      </c>
      <c r="B30" s="4">
        <f>B29/B28</f>
        <v>0.11617944891328093</v>
      </c>
      <c r="C30" s="4"/>
      <c r="D30" t="s">
        <v>10</v>
      </c>
    </row>
    <row r="31" spans="1:14" x14ac:dyDescent="0.3">
      <c r="A31" s="3" t="s">
        <v>13</v>
      </c>
      <c r="B31" s="41">
        <f>SKEW(B4:B23)</f>
        <v>0.13872016244942795</v>
      </c>
      <c r="D31" t="s">
        <v>177</v>
      </c>
    </row>
    <row r="32" spans="1:14" x14ac:dyDescent="0.3">
      <c r="A32" s="3" t="s">
        <v>11</v>
      </c>
      <c r="B32" s="43">
        <f>(B28-1.64*B29)</f>
        <v>15.850957411463419</v>
      </c>
      <c r="D32" t="s">
        <v>12</v>
      </c>
    </row>
    <row r="33" spans="2:2" x14ac:dyDescent="0.3">
      <c r="B33" s="41"/>
    </row>
    <row r="34" spans="2:2" x14ac:dyDescent="0.3">
      <c r="B34" s="4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46"/>
  <sheetViews>
    <sheetView zoomScale="40" zoomScaleNormal="40" workbookViewId="0">
      <selection activeCell="K6" sqref="K6"/>
    </sheetView>
  </sheetViews>
  <sheetFormatPr defaultColWidth="8.8984375" defaultRowHeight="14.5" x14ac:dyDescent="0.35"/>
  <cols>
    <col min="1" max="1" width="9" style="15" bestFit="1" customWidth="1"/>
    <col min="2" max="2" width="8.8984375" style="15" customWidth="1"/>
    <col min="3" max="3" width="8.8984375" style="15" bestFit="1" customWidth="1"/>
    <col min="4" max="4" width="12.3984375" style="15" customWidth="1"/>
    <col min="5" max="5" width="5.8984375" style="15" customWidth="1"/>
    <col min="6" max="6" width="9.09765625" style="15" bestFit="1" customWidth="1"/>
    <col min="7" max="11" width="9" style="15" bestFit="1" customWidth="1"/>
    <col min="12" max="16384" width="8.8984375" style="15"/>
  </cols>
  <sheetData>
    <row r="1" spans="1:11" ht="18.5" x14ac:dyDescent="0.45">
      <c r="A1" s="24" t="s">
        <v>67</v>
      </c>
    </row>
    <row r="2" spans="1:11" x14ac:dyDescent="0.35">
      <c r="A2" s="49"/>
    </row>
    <row r="3" spans="1:11" ht="15.25" customHeight="1" x14ac:dyDescent="0.35">
      <c r="A3" s="106" t="s">
        <v>0</v>
      </c>
      <c r="B3" s="107" t="s">
        <v>62</v>
      </c>
      <c r="D3" s="53" t="s">
        <v>46</v>
      </c>
      <c r="E3" s="53" t="s">
        <v>23</v>
      </c>
      <c r="F3" s="50" t="s">
        <v>25</v>
      </c>
      <c r="G3" s="50" t="s">
        <v>29</v>
      </c>
      <c r="H3" s="50" t="s">
        <v>63</v>
      </c>
      <c r="I3" s="50" t="s">
        <v>49</v>
      </c>
      <c r="J3" s="50" t="s">
        <v>64</v>
      </c>
      <c r="K3" s="50" t="s">
        <v>65</v>
      </c>
    </row>
    <row r="4" spans="1:11" x14ac:dyDescent="0.35">
      <c r="A4" s="106"/>
      <c r="B4" s="107"/>
      <c r="D4" s="15">
        <v>15</v>
      </c>
      <c r="E4" s="15">
        <f>FREQUENCY(B5:B36,D4)</f>
        <v>0</v>
      </c>
      <c r="F4" s="15">
        <v>0</v>
      </c>
      <c r="G4" s="20">
        <v>0</v>
      </c>
      <c r="H4" s="20">
        <f t="shared" ref="H4:H11" si="0">_xlfn.NORM.DIST(D4-0.25,$B$39,$B$40,0)</f>
        <v>2.3037369627408838E-3</v>
      </c>
      <c r="I4" s="20">
        <f>_xlfn.NORM.DIST(D4,$B$39,$B$40,1)</f>
        <v>1.6740832180602127E-3</v>
      </c>
      <c r="K4" s="15">
        <v>6</v>
      </c>
    </row>
    <row r="5" spans="1:11" x14ac:dyDescent="0.35">
      <c r="A5" s="54">
        <v>1</v>
      </c>
      <c r="B5" s="55">
        <v>16.770924131330222</v>
      </c>
      <c r="C5" s="17"/>
      <c r="D5" s="15">
        <v>15.5</v>
      </c>
      <c r="E5" s="56">
        <f t="shared" ref="E5:E11" si="1">FREQUENCY($B$5:$B$36,D5)-FREQUENCY($B$5:$B$36,D4)</f>
        <v>1</v>
      </c>
      <c r="F5" s="20">
        <f t="shared" ref="F5:F11" si="2">E5/$B$38</f>
        <v>3.125E-2</v>
      </c>
      <c r="G5" s="20">
        <f>F5/(D5-D4)</f>
        <v>6.25E-2</v>
      </c>
      <c r="H5" s="20">
        <f t="shared" si="0"/>
        <v>3.5080606853998747E-2</v>
      </c>
      <c r="I5" s="20">
        <f t="shared" ref="I5:I11" si="3">_xlfn.NORM.DIST(D5,$B$39,$B$40,1)-_xlfn.NORM.DIST(D4,$B$39,$B$40,1)</f>
        <v>2.0773195026087894E-2</v>
      </c>
      <c r="J5" s="20">
        <f>(F5-I5)^2/I5</f>
        <v>5.2838979426873761E-3</v>
      </c>
      <c r="K5" s="50" t="s">
        <v>66</v>
      </c>
    </row>
    <row r="6" spans="1:11" x14ac:dyDescent="0.35">
      <c r="A6" s="54">
        <v>2</v>
      </c>
      <c r="B6" s="55">
        <v>16.210112974072366</v>
      </c>
      <c r="C6" s="17"/>
      <c r="D6" s="15">
        <v>16</v>
      </c>
      <c r="E6" s="56">
        <f t="shared" si="1"/>
        <v>4</v>
      </c>
      <c r="F6" s="20">
        <f t="shared" si="2"/>
        <v>0.125</v>
      </c>
      <c r="G6" s="20">
        <f t="shared" ref="G6:G11" si="4">F6/(D6-D5)</f>
        <v>0.25</v>
      </c>
      <c r="H6" s="20">
        <f t="shared" si="0"/>
        <v>0.2257087291992515</v>
      </c>
      <c r="I6" s="20">
        <f t="shared" si="3"/>
        <v>0.11818999522359441</v>
      </c>
      <c r="J6" s="20">
        <f t="shared" ref="J6:J10" si="5">(F6-I6)^2/I6</f>
        <v>3.9238655494427824E-4</v>
      </c>
      <c r="K6" s="52">
        <f>_xlfn.CHISQ.DIST.RT(J13,K4-3)</f>
        <v>0.75265822995359288</v>
      </c>
    </row>
    <row r="7" spans="1:11" x14ac:dyDescent="0.35">
      <c r="A7" s="54">
        <v>3</v>
      </c>
      <c r="B7" s="55">
        <v>16.953180874631499</v>
      </c>
      <c r="C7" s="17"/>
      <c r="D7" s="15">
        <v>16.5</v>
      </c>
      <c r="E7" s="56">
        <f t="shared" si="1"/>
        <v>11</v>
      </c>
      <c r="F7" s="20">
        <f t="shared" si="2"/>
        <v>0.34375</v>
      </c>
      <c r="G7" s="20">
        <f t="shared" si="4"/>
        <v>0.6875</v>
      </c>
      <c r="H7" s="20">
        <f t="shared" si="0"/>
        <v>0.61358772742435086</v>
      </c>
      <c r="I7" s="20">
        <f t="shared" si="3"/>
        <v>0.30002903007385623</v>
      </c>
      <c r="J7" s="20">
        <f t="shared" si="5"/>
        <v>6.3711275232674006E-3</v>
      </c>
    </row>
    <row r="8" spans="1:11" x14ac:dyDescent="0.35">
      <c r="A8" s="54">
        <v>4</v>
      </c>
      <c r="B8" s="55">
        <v>17.517028938348734</v>
      </c>
      <c r="C8" s="17"/>
      <c r="D8" s="15">
        <v>17</v>
      </c>
      <c r="E8" s="56">
        <f t="shared" si="1"/>
        <v>9</v>
      </c>
      <c r="F8" s="20">
        <f t="shared" si="2"/>
        <v>0.28125</v>
      </c>
      <c r="G8" s="20">
        <f t="shared" si="4"/>
        <v>0.5625</v>
      </c>
      <c r="H8" s="20">
        <f t="shared" si="0"/>
        <v>0.70477748978663168</v>
      </c>
      <c r="I8" s="20">
        <f t="shared" si="3"/>
        <v>0.34131449255426016</v>
      </c>
      <c r="J8" s="20">
        <f t="shared" si="5"/>
        <v>1.0570143795541401E-2</v>
      </c>
    </row>
    <row r="9" spans="1:11" x14ac:dyDescent="0.35">
      <c r="A9" s="54">
        <v>5</v>
      </c>
      <c r="B9" s="55">
        <v>16.744218838127466</v>
      </c>
      <c r="C9" s="17"/>
      <c r="D9" s="15">
        <v>17.5</v>
      </c>
      <c r="E9" s="56">
        <f t="shared" si="1"/>
        <v>5</v>
      </c>
      <c r="F9" s="20">
        <f t="shared" si="2"/>
        <v>0.15625</v>
      </c>
      <c r="G9" s="20">
        <f t="shared" si="4"/>
        <v>0.3125</v>
      </c>
      <c r="H9" s="20">
        <f t="shared" si="0"/>
        <v>0.34203806069710857</v>
      </c>
      <c r="I9" s="20">
        <f t="shared" si="3"/>
        <v>0.17411569060904786</v>
      </c>
      <c r="J9" s="20">
        <f t="shared" si="5"/>
        <v>1.8331656372940037E-3</v>
      </c>
    </row>
    <row r="10" spans="1:11" x14ac:dyDescent="0.35">
      <c r="A10" s="54">
        <v>6</v>
      </c>
      <c r="B10" s="55">
        <v>16.1780666222291</v>
      </c>
      <c r="C10" s="17"/>
      <c r="D10" s="15">
        <v>18</v>
      </c>
      <c r="E10" s="56">
        <f t="shared" si="1"/>
        <v>2</v>
      </c>
      <c r="F10" s="20">
        <f t="shared" si="2"/>
        <v>6.25E-2</v>
      </c>
      <c r="G10" s="20">
        <f t="shared" si="4"/>
        <v>0.125</v>
      </c>
      <c r="H10" s="20">
        <f t="shared" si="0"/>
        <v>7.0136468930304841E-2</v>
      </c>
      <c r="I10" s="20">
        <f t="shared" si="3"/>
        <v>3.9699886874847712E-2</v>
      </c>
      <c r="J10" s="20">
        <f t="shared" si="5"/>
        <v>1.309437379906226E-2</v>
      </c>
    </row>
    <row r="11" spans="1:11" x14ac:dyDescent="0.35">
      <c r="A11" s="54">
        <v>7</v>
      </c>
      <c r="B11" s="55">
        <v>17.279347636490492</v>
      </c>
      <c r="C11" s="17"/>
      <c r="D11" s="15">
        <v>18.5</v>
      </c>
      <c r="E11" s="56">
        <f t="shared" si="1"/>
        <v>0</v>
      </c>
      <c r="F11" s="20">
        <f t="shared" si="2"/>
        <v>0</v>
      </c>
      <c r="G11" s="20">
        <f t="shared" si="4"/>
        <v>0</v>
      </c>
      <c r="H11" s="20">
        <f t="shared" si="0"/>
        <v>6.0765966523706793E-3</v>
      </c>
      <c r="I11" s="20">
        <f t="shared" si="3"/>
        <v>4.020614486303864E-3</v>
      </c>
    </row>
    <row r="12" spans="1:11" x14ac:dyDescent="0.35">
      <c r="A12" s="54">
        <v>8</v>
      </c>
      <c r="B12" s="55">
        <v>17.752309418976086</v>
      </c>
      <c r="C12" s="17"/>
      <c r="E12" s="56"/>
      <c r="F12" s="20"/>
      <c r="G12" s="20"/>
      <c r="H12" s="20"/>
    </row>
    <row r="13" spans="1:11" x14ac:dyDescent="0.35">
      <c r="A13" s="54">
        <v>9</v>
      </c>
      <c r="B13" s="55">
        <v>16.296802464315153</v>
      </c>
      <c r="C13" s="17"/>
      <c r="I13" s="19" t="s">
        <v>52</v>
      </c>
      <c r="J13" s="51">
        <f>B38*SUM(J5:J11)</f>
        <v>1.2014430480894949</v>
      </c>
    </row>
    <row r="14" spans="1:11" x14ac:dyDescent="0.35">
      <c r="A14" s="54">
        <v>10</v>
      </c>
      <c r="B14" s="55">
        <v>16.033858038934181</v>
      </c>
      <c r="C14" s="17"/>
    </row>
    <row r="15" spans="1:11" x14ac:dyDescent="0.35">
      <c r="A15" s="54">
        <v>11</v>
      </c>
      <c r="B15" s="55">
        <v>17.300099787409433</v>
      </c>
      <c r="C15" s="17"/>
    </row>
    <row r="16" spans="1:11" x14ac:dyDescent="0.35">
      <c r="A16" s="54">
        <v>12</v>
      </c>
      <c r="B16" s="55">
        <v>17.184856175972929</v>
      </c>
      <c r="C16" s="17"/>
    </row>
    <row r="17" spans="1:3" x14ac:dyDescent="0.35">
      <c r="A17" s="54">
        <v>13</v>
      </c>
      <c r="B17" s="55">
        <v>16.361881209596945</v>
      </c>
      <c r="C17" s="17"/>
    </row>
    <row r="18" spans="1:3" x14ac:dyDescent="0.35">
      <c r="A18" s="54">
        <v>14</v>
      </c>
      <c r="B18" s="55">
        <v>16.299583607275913</v>
      </c>
      <c r="C18" s="17"/>
    </row>
    <row r="19" spans="1:3" x14ac:dyDescent="0.35">
      <c r="A19" s="54">
        <v>15</v>
      </c>
      <c r="B19" s="55">
        <v>15.482517482517499</v>
      </c>
      <c r="C19" s="17"/>
    </row>
    <row r="20" spans="1:3" x14ac:dyDescent="0.35">
      <c r="A20" s="54">
        <v>16</v>
      </c>
      <c r="B20" s="55">
        <v>17.447004054146912</v>
      </c>
      <c r="C20" s="17"/>
    </row>
    <row r="21" spans="1:3" x14ac:dyDescent="0.35">
      <c r="A21" s="54">
        <v>17</v>
      </c>
      <c r="B21" s="55">
        <v>16.265556958437475</v>
      </c>
      <c r="C21" s="17"/>
    </row>
    <row r="22" spans="1:3" x14ac:dyDescent="0.35">
      <c r="A22" s="54">
        <v>18</v>
      </c>
      <c r="B22" s="55">
        <v>15.99702380952381</v>
      </c>
      <c r="C22" s="17"/>
    </row>
    <row r="23" spans="1:3" x14ac:dyDescent="0.35">
      <c r="A23" s="54">
        <v>19</v>
      </c>
      <c r="B23" s="55">
        <v>15.969765335247569</v>
      </c>
      <c r="C23" s="17"/>
    </row>
    <row r="24" spans="1:3" x14ac:dyDescent="0.35">
      <c r="A24" s="54">
        <v>20</v>
      </c>
      <c r="B24" s="55">
        <v>16.265556958437475</v>
      </c>
      <c r="C24" s="17"/>
    </row>
    <row r="25" spans="1:3" x14ac:dyDescent="0.35">
      <c r="A25" s="54">
        <v>21</v>
      </c>
      <c r="B25" s="55">
        <v>16.911875252304</v>
      </c>
      <c r="C25" s="17"/>
    </row>
    <row r="26" spans="1:3" x14ac:dyDescent="0.35">
      <c r="A26" s="54">
        <v>22</v>
      </c>
      <c r="B26" s="55">
        <v>16.533965489104762</v>
      </c>
      <c r="C26" s="17"/>
    </row>
    <row r="27" spans="1:3" x14ac:dyDescent="0.35">
      <c r="A27" s="54">
        <v>23</v>
      </c>
      <c r="B27" s="55">
        <v>15.873519458544839</v>
      </c>
      <c r="C27" s="17"/>
    </row>
    <row r="28" spans="1:3" x14ac:dyDescent="0.35">
      <c r="A28" s="54">
        <v>24</v>
      </c>
      <c r="B28" s="55">
        <v>16.734556621491294</v>
      </c>
      <c r="C28" s="17"/>
    </row>
    <row r="29" spans="1:3" x14ac:dyDescent="0.35">
      <c r="A29" s="54">
        <v>25</v>
      </c>
      <c r="B29" s="55">
        <v>16.236818267275119</v>
      </c>
      <c r="C29" s="17"/>
    </row>
    <row r="30" spans="1:3" x14ac:dyDescent="0.35">
      <c r="A30" s="54">
        <v>26</v>
      </c>
      <c r="B30" s="55">
        <v>16.584837452568966</v>
      </c>
      <c r="C30" s="17"/>
    </row>
    <row r="31" spans="1:3" x14ac:dyDescent="0.35">
      <c r="A31" s="54">
        <v>27</v>
      </c>
      <c r="B31" s="55">
        <v>15.974357692275641</v>
      </c>
      <c r="C31" s="17"/>
    </row>
    <row r="32" spans="1:3" x14ac:dyDescent="0.35">
      <c r="A32" s="54">
        <v>28</v>
      </c>
      <c r="B32" s="55">
        <v>16.484375</v>
      </c>
      <c r="C32" s="17"/>
    </row>
    <row r="33" spans="1:6" x14ac:dyDescent="0.35">
      <c r="A33" s="54">
        <v>29</v>
      </c>
      <c r="B33" s="55">
        <v>16.537258107126345</v>
      </c>
      <c r="C33" s="17"/>
    </row>
    <row r="34" spans="1:6" x14ac:dyDescent="0.35">
      <c r="A34" s="54">
        <v>30</v>
      </c>
      <c r="B34" s="55">
        <v>16.883051529790659</v>
      </c>
      <c r="C34" s="17"/>
    </row>
    <row r="35" spans="1:6" x14ac:dyDescent="0.35">
      <c r="A35" s="54">
        <v>31</v>
      </c>
      <c r="B35" s="55">
        <v>16.427025355596783</v>
      </c>
      <c r="C35" s="17"/>
    </row>
    <row r="36" spans="1:6" x14ac:dyDescent="0.35">
      <c r="A36" s="54">
        <v>32</v>
      </c>
      <c r="B36" s="55">
        <v>17.081959046244762</v>
      </c>
      <c r="C36" s="17"/>
    </row>
    <row r="38" spans="1:6" x14ac:dyDescent="0.35">
      <c r="A38" s="53" t="s">
        <v>2</v>
      </c>
      <c r="B38" s="56">
        <f>COUNT(B5:B36)</f>
        <v>32</v>
      </c>
      <c r="D38" s="15" t="s">
        <v>68</v>
      </c>
    </row>
    <row r="39" spans="1:6" x14ac:dyDescent="0.35">
      <c r="A39" s="53" t="s">
        <v>5</v>
      </c>
      <c r="B39" s="17">
        <f>AVERAGE(B5:B36)</f>
        <v>16.58041545588576</v>
      </c>
      <c r="E39" s="15">
        <v>15</v>
      </c>
      <c r="F39" s="57">
        <f>_xlfn.NORM.DIST(E39,B39,B40,1)</f>
        <v>1.6740832180602127E-3</v>
      </c>
    </row>
    <row r="40" spans="1:6" x14ac:dyDescent="0.35">
      <c r="A40" s="53" t="s">
        <v>7</v>
      </c>
      <c r="B40" s="18">
        <f>_xlfn.STDEV.S(B5:B36)</f>
        <v>0.53868833800592519</v>
      </c>
      <c r="E40" s="15">
        <v>25</v>
      </c>
      <c r="F40" s="57">
        <f>_xlfn.NORM.DIST(E40,B39,B40,1)</f>
        <v>1</v>
      </c>
    </row>
    <row r="41" spans="1:6" x14ac:dyDescent="0.35">
      <c r="A41" s="53" t="s">
        <v>9</v>
      </c>
      <c r="B41" s="18">
        <f>B40/B39</f>
        <v>3.2489435469163726E-2</v>
      </c>
      <c r="D41" s="15" t="s">
        <v>69</v>
      </c>
      <c r="F41" s="18">
        <f>F40-F39</f>
        <v>0.99832591678193983</v>
      </c>
    </row>
    <row r="42" spans="1:6" x14ac:dyDescent="0.35">
      <c r="A42" s="53" t="s">
        <v>24</v>
      </c>
      <c r="B42" s="18">
        <f>SKEW(B5:B36)</f>
        <v>0.33153549873483756</v>
      </c>
    </row>
    <row r="46" spans="1:6" x14ac:dyDescent="0.35">
      <c r="B46" s="57"/>
    </row>
  </sheetData>
  <mergeCells count="2">
    <mergeCell ref="A3:A4"/>
    <mergeCell ref="B3:B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31"/>
  <sheetViews>
    <sheetView zoomScale="70" zoomScaleNormal="70" workbookViewId="0">
      <selection activeCell="B21" sqref="B21"/>
    </sheetView>
  </sheetViews>
  <sheetFormatPr defaultColWidth="8.8984375" defaultRowHeight="14.5" x14ac:dyDescent="0.35"/>
  <cols>
    <col min="1" max="1" width="10.3984375" style="28" customWidth="1"/>
    <col min="2" max="11" width="8.69921875" style="28" customWidth="1"/>
    <col min="12" max="16384" width="8.8984375" style="28"/>
  </cols>
  <sheetData>
    <row r="1" spans="1:24" ht="18.5" x14ac:dyDescent="0.45">
      <c r="A1" s="30" t="s">
        <v>43</v>
      </c>
    </row>
    <row r="2" spans="1:24" x14ac:dyDescent="0.35">
      <c r="O2" s="38"/>
      <c r="P2" s="38"/>
      <c r="Q2" s="38"/>
      <c r="R2" s="38"/>
      <c r="S2" s="38"/>
      <c r="T2" s="38"/>
      <c r="U2" s="38"/>
      <c r="V2" s="38"/>
      <c r="W2" s="38"/>
      <c r="X2" s="38"/>
    </row>
    <row r="3" spans="1:24" x14ac:dyDescent="0.35">
      <c r="A3" s="23" t="s">
        <v>42</v>
      </c>
      <c r="B3" s="108" t="s">
        <v>44</v>
      </c>
      <c r="C3" s="108"/>
      <c r="D3" s="108"/>
      <c r="E3" s="108"/>
      <c r="F3" s="108"/>
      <c r="G3" s="108"/>
      <c r="H3" s="108"/>
      <c r="I3" s="108"/>
      <c r="J3" s="108"/>
      <c r="K3" s="108"/>
      <c r="O3" s="38"/>
      <c r="P3" s="38"/>
      <c r="Q3" s="38"/>
      <c r="R3" s="38"/>
      <c r="S3" s="38"/>
      <c r="T3" s="38"/>
      <c r="U3" s="38"/>
      <c r="V3" s="38"/>
      <c r="W3" s="38"/>
      <c r="X3" s="38"/>
    </row>
    <row r="4" spans="1:24" x14ac:dyDescent="0.35">
      <c r="A4" s="33" t="s">
        <v>35</v>
      </c>
      <c r="B4" s="38">
        <v>306.8</v>
      </c>
      <c r="C4" s="38">
        <v>448.4</v>
      </c>
      <c r="D4" s="38">
        <v>710</v>
      </c>
      <c r="E4" s="38">
        <v>290</v>
      </c>
      <c r="F4" s="38">
        <v>270</v>
      </c>
      <c r="G4" s="38">
        <v>490</v>
      </c>
      <c r="H4" s="38">
        <v>170</v>
      </c>
      <c r="I4" s="38">
        <v>220</v>
      </c>
      <c r="J4" s="38">
        <v>23.599999999999998</v>
      </c>
      <c r="K4" s="38">
        <v>420</v>
      </c>
      <c r="O4" s="38"/>
      <c r="P4" s="38"/>
      <c r="Q4" s="38"/>
      <c r="R4" s="38"/>
      <c r="S4" s="38"/>
      <c r="T4" s="38"/>
      <c r="U4" s="38"/>
      <c r="V4" s="38"/>
      <c r="W4" s="38"/>
      <c r="X4" s="38"/>
    </row>
    <row r="5" spans="1:24" x14ac:dyDescent="0.35">
      <c r="A5" s="33" t="s">
        <v>36</v>
      </c>
      <c r="B5" s="38">
        <v>354</v>
      </c>
      <c r="C5" s="38">
        <v>240</v>
      </c>
      <c r="D5" s="38">
        <v>670</v>
      </c>
      <c r="E5" s="38">
        <v>750</v>
      </c>
      <c r="F5" s="38">
        <v>480</v>
      </c>
      <c r="G5" s="38">
        <v>990</v>
      </c>
      <c r="H5" s="38">
        <v>960</v>
      </c>
      <c r="I5" s="38">
        <v>760</v>
      </c>
      <c r="J5" s="38">
        <v>590</v>
      </c>
      <c r="K5" s="38">
        <v>360</v>
      </c>
      <c r="O5" s="38"/>
      <c r="P5" s="38"/>
      <c r="Q5" s="38"/>
      <c r="R5" s="38"/>
      <c r="S5" s="38"/>
      <c r="T5" s="38"/>
      <c r="U5" s="38"/>
      <c r="V5" s="38"/>
      <c r="W5" s="38"/>
      <c r="X5" s="38"/>
    </row>
    <row r="6" spans="1:24" x14ac:dyDescent="0.35">
      <c r="A6" s="33" t="s">
        <v>37</v>
      </c>
      <c r="B6" s="38">
        <v>550</v>
      </c>
      <c r="C6" s="38">
        <v>150</v>
      </c>
      <c r="D6" s="38">
        <v>490</v>
      </c>
      <c r="E6" s="38">
        <v>270</v>
      </c>
      <c r="F6" s="38">
        <v>141.6</v>
      </c>
      <c r="G6" s="38">
        <v>220</v>
      </c>
      <c r="H6" s="38">
        <v>360</v>
      </c>
      <c r="I6" s="38">
        <v>210</v>
      </c>
      <c r="J6" s="38">
        <v>448.4</v>
      </c>
      <c r="K6" s="38">
        <v>188.79999999999998</v>
      </c>
      <c r="O6" s="38"/>
      <c r="P6" s="38"/>
      <c r="Q6" s="38"/>
      <c r="R6" s="38"/>
      <c r="S6" s="38"/>
      <c r="T6" s="38"/>
      <c r="U6" s="38"/>
      <c r="V6" s="38"/>
      <c r="W6" s="38"/>
      <c r="X6" s="38"/>
    </row>
    <row r="7" spans="1:24" x14ac:dyDescent="0.35">
      <c r="A7" s="33" t="s">
        <v>38</v>
      </c>
      <c r="B7" s="38">
        <v>400</v>
      </c>
      <c r="C7" s="38">
        <v>330</v>
      </c>
      <c r="D7" s="38">
        <v>310</v>
      </c>
      <c r="E7" s="38">
        <v>200</v>
      </c>
      <c r="F7" s="38">
        <v>600</v>
      </c>
      <c r="G7" s="38">
        <v>470</v>
      </c>
      <c r="H7" s="38">
        <v>730</v>
      </c>
      <c r="I7" s="38">
        <v>280</v>
      </c>
      <c r="J7" s="38">
        <v>140</v>
      </c>
      <c r="K7" s="38">
        <v>170</v>
      </c>
      <c r="O7" s="38"/>
      <c r="P7" s="38"/>
      <c r="Q7" s="38"/>
      <c r="R7" s="38"/>
      <c r="S7" s="38"/>
      <c r="T7" s="38"/>
      <c r="U7" s="38"/>
      <c r="V7" s="38"/>
      <c r="W7" s="38"/>
      <c r="X7" s="38"/>
    </row>
    <row r="8" spans="1:24" x14ac:dyDescent="0.35">
      <c r="A8" s="33" t="s">
        <v>39</v>
      </c>
      <c r="B8" s="38">
        <v>100</v>
      </c>
      <c r="C8" s="38">
        <v>47.199999999999996</v>
      </c>
      <c r="D8" s="38">
        <v>700</v>
      </c>
      <c r="E8" s="38">
        <v>94.399999999999991</v>
      </c>
      <c r="F8" s="38">
        <v>80</v>
      </c>
      <c r="G8" s="38">
        <v>1380</v>
      </c>
      <c r="H8" s="38">
        <v>230</v>
      </c>
      <c r="I8" s="38">
        <v>377.59999999999997</v>
      </c>
      <c r="J8" s="38">
        <v>400</v>
      </c>
      <c r="K8" s="38">
        <v>380</v>
      </c>
      <c r="O8" s="38"/>
      <c r="P8" s="38"/>
      <c r="Q8" s="38"/>
      <c r="R8" s="38"/>
      <c r="S8" s="38"/>
      <c r="T8" s="38"/>
      <c r="U8" s="38"/>
    </row>
    <row r="9" spans="1:24" x14ac:dyDescent="0.35">
      <c r="A9" s="33" t="s">
        <v>40</v>
      </c>
      <c r="B9" s="38">
        <v>340</v>
      </c>
      <c r="C9" s="38">
        <v>120</v>
      </c>
      <c r="D9" s="38">
        <v>800</v>
      </c>
      <c r="E9" s="38">
        <v>840</v>
      </c>
      <c r="F9" s="38">
        <v>650</v>
      </c>
      <c r="G9" s="38">
        <v>410</v>
      </c>
      <c r="H9" s="38">
        <v>80</v>
      </c>
      <c r="I9" s="38">
        <v>180</v>
      </c>
      <c r="J9" s="38">
        <v>260</v>
      </c>
      <c r="K9" s="38">
        <v>990</v>
      </c>
    </row>
    <row r="10" spans="1:24" x14ac:dyDescent="0.35">
      <c r="A10" s="33" t="s">
        <v>41</v>
      </c>
      <c r="B10" s="38">
        <v>360</v>
      </c>
      <c r="C10" s="38">
        <v>620</v>
      </c>
      <c r="D10" s="38">
        <v>200</v>
      </c>
      <c r="E10" s="38">
        <v>190</v>
      </c>
      <c r="F10" s="38">
        <v>140</v>
      </c>
      <c r="G10" s="38">
        <v>810</v>
      </c>
      <c r="H10" s="38">
        <v>520</v>
      </c>
    </row>
    <row r="11" spans="1:24" x14ac:dyDescent="0.35">
      <c r="B11" s="29"/>
      <c r="C11" s="29"/>
      <c r="D11" s="29"/>
      <c r="E11" s="29"/>
      <c r="F11" s="29"/>
      <c r="G11" s="29"/>
      <c r="H11" s="29"/>
    </row>
    <row r="12" spans="1:24" x14ac:dyDescent="0.35">
      <c r="A12" s="108" t="s">
        <v>45</v>
      </c>
      <c r="B12" s="108"/>
      <c r="C12" s="39"/>
      <c r="D12" s="108" t="s">
        <v>32</v>
      </c>
      <c r="E12" s="108"/>
      <c r="F12" s="108"/>
      <c r="G12" s="39"/>
      <c r="H12" s="108" t="s">
        <v>51</v>
      </c>
      <c r="I12" s="108"/>
      <c r="J12" s="108"/>
      <c r="K12" s="39"/>
    </row>
    <row r="13" spans="1:24" x14ac:dyDescent="0.35">
      <c r="A13" s="40" t="s">
        <v>2</v>
      </c>
      <c r="B13" s="39">
        <f>COUNT(B4:K10)</f>
        <v>67</v>
      </c>
      <c r="C13" s="39"/>
      <c r="D13" s="23" t="s">
        <v>46</v>
      </c>
      <c r="E13" s="23" t="s">
        <v>23</v>
      </c>
      <c r="F13" s="23" t="s">
        <v>25</v>
      </c>
      <c r="G13" s="23" t="s">
        <v>29</v>
      </c>
      <c r="H13" s="23" t="s">
        <v>47</v>
      </c>
      <c r="I13" s="23" t="s">
        <v>48</v>
      </c>
      <c r="J13" s="23" t="s">
        <v>49</v>
      </c>
      <c r="K13" s="23" t="s">
        <v>50</v>
      </c>
    </row>
    <row r="14" spans="1:24" x14ac:dyDescent="0.35">
      <c r="A14" s="31" t="s">
        <v>3</v>
      </c>
      <c r="B14" s="28">
        <f>MIN(B4:K10)</f>
        <v>23.599999999999998</v>
      </c>
      <c r="D14" s="28">
        <v>0</v>
      </c>
      <c r="H14" s="28">
        <f>EXP(($B$20-D14+50)/$B$21-EXP(($B$20-D14+50)/$B$21))/$B$21</f>
        <v>2.7533422047943735E-4</v>
      </c>
      <c r="I14" s="34">
        <f>EXP(-EXP(($B$20-D14)/$B$21))</f>
        <v>3.4345275320367685E-2</v>
      </c>
      <c r="J14" s="34"/>
    </row>
    <row r="15" spans="1:24" x14ac:dyDescent="0.35">
      <c r="A15" s="31" t="s">
        <v>4</v>
      </c>
      <c r="B15" s="28">
        <f>MAX(B4:K10)</f>
        <v>1380</v>
      </c>
      <c r="D15" s="28">
        <v>100</v>
      </c>
      <c r="E15" s="28">
        <f>FREQUENCY($B$4:$K$10,D15)-FREQUENCY($B$4:$K$10,D14)</f>
        <v>6</v>
      </c>
      <c r="F15" s="34">
        <f>E15/$B$13</f>
        <v>8.9552238805970144E-2</v>
      </c>
      <c r="G15" s="35">
        <f>F15/(D15-D14)</f>
        <v>8.9552238805970139E-4</v>
      </c>
      <c r="H15" s="35">
        <f t="shared" ref="H15:H29" si="0">EXP(($B$20-D15+50)/$B$21-EXP(($B$20-D15+50)/$B$21))/$B$21</f>
        <v>7.751412654698164E-4</v>
      </c>
      <c r="I15" s="34">
        <f t="shared" ref="I15:I26" si="1">EXP(-EXP(($B$20-D15)/$B$21))</f>
        <v>0.11199628778956443</v>
      </c>
      <c r="J15" s="34">
        <f>I15-I14</f>
        <v>7.7651012469196742E-2</v>
      </c>
      <c r="K15" s="34">
        <f>(F15-J15)^2/J15</f>
        <v>1.8240481845010774E-3</v>
      </c>
    </row>
    <row r="16" spans="1:24" x14ac:dyDescent="0.35">
      <c r="A16" s="31" t="s">
        <v>5</v>
      </c>
      <c r="B16" s="38">
        <f>AVERAGE(B4:K10)</f>
        <v>409.86268656716419</v>
      </c>
      <c r="D16" s="28">
        <v>200</v>
      </c>
      <c r="E16" s="28">
        <f t="shared" ref="E16:E29" si="2">FREQUENCY($B$4:$K$10,D16)-FREQUENCY($B$4:$K$10,D15)</f>
        <v>12</v>
      </c>
      <c r="F16" s="34">
        <f t="shared" ref="F16:F29" si="3">E16/$B$13</f>
        <v>0.17910447761194029</v>
      </c>
      <c r="G16" s="35">
        <f t="shared" ref="G16:G26" si="4">F16/(D16-D15)</f>
        <v>1.7910447761194028E-3</v>
      </c>
      <c r="H16" s="35">
        <f t="shared" si="0"/>
        <v>1.3048466719776464E-3</v>
      </c>
      <c r="I16" s="34">
        <f t="shared" si="1"/>
        <v>0.24130169174077412</v>
      </c>
      <c r="J16" s="34">
        <f t="shared" ref="J16:J29" si="5">I16-I15</f>
        <v>0.12930540395120971</v>
      </c>
      <c r="K16" s="34">
        <f t="shared" ref="K16:K26" si="6">(F16-J16)^2/J16</f>
        <v>1.9178995321824439E-2</v>
      </c>
    </row>
    <row r="17" spans="1:11" x14ac:dyDescent="0.35">
      <c r="A17" s="31" t="s">
        <v>7</v>
      </c>
      <c r="B17" s="38">
        <f>_xlfn.STDEV.S(B4:K10)</f>
        <v>273.87466766134537</v>
      </c>
      <c r="D17" s="28">
        <v>300</v>
      </c>
      <c r="E17" s="28">
        <f t="shared" si="2"/>
        <v>10</v>
      </c>
      <c r="F17" s="34">
        <f t="shared" si="3"/>
        <v>0.14925373134328357</v>
      </c>
      <c r="G17" s="35">
        <f t="shared" si="4"/>
        <v>1.4925373134328356E-3</v>
      </c>
      <c r="H17" s="35">
        <f t="shared" si="0"/>
        <v>1.5729016003630438E-3</v>
      </c>
      <c r="I17" s="34">
        <f t="shared" si="1"/>
        <v>0.3972277611949771</v>
      </c>
      <c r="J17" s="34">
        <f t="shared" si="5"/>
        <v>0.15592606945420298</v>
      </c>
      <c r="K17" s="34">
        <f t="shared" si="6"/>
        <v>2.8552054202522959E-4</v>
      </c>
    </row>
    <row r="18" spans="1:11" x14ac:dyDescent="0.35">
      <c r="A18" s="31" t="s">
        <v>9</v>
      </c>
      <c r="B18" s="32">
        <f>B17/B16</f>
        <v>0.66821078531252331</v>
      </c>
      <c r="D18" s="28">
        <v>400</v>
      </c>
      <c r="E18" s="28">
        <f t="shared" si="2"/>
        <v>12</v>
      </c>
      <c r="F18" s="34">
        <f t="shared" si="3"/>
        <v>0.17910447761194029</v>
      </c>
      <c r="G18" s="35">
        <f t="shared" si="4"/>
        <v>1.7910447761194028E-3</v>
      </c>
      <c r="H18" s="35">
        <f t="shared" si="0"/>
        <v>1.5263637311572562E-3</v>
      </c>
      <c r="I18" s="34">
        <f t="shared" si="1"/>
        <v>0.54905959732153975</v>
      </c>
      <c r="J18" s="34">
        <f t="shared" si="5"/>
        <v>0.15183183612656265</v>
      </c>
      <c r="K18" s="34">
        <f t="shared" si="6"/>
        <v>4.8988209097987449E-3</v>
      </c>
    </row>
    <row r="19" spans="1:11" x14ac:dyDescent="0.35">
      <c r="A19" s="31" t="s">
        <v>13</v>
      </c>
      <c r="B19" s="32">
        <f>SKEW(B4:K10)</f>
        <v>1.088509370530989</v>
      </c>
      <c r="D19" s="28">
        <v>500</v>
      </c>
      <c r="E19" s="28">
        <f t="shared" si="2"/>
        <v>8</v>
      </c>
      <c r="F19" s="34">
        <f t="shared" si="3"/>
        <v>0.11940298507462686</v>
      </c>
      <c r="G19" s="35">
        <f t="shared" si="4"/>
        <v>1.1940298507462687E-3</v>
      </c>
      <c r="H19" s="35">
        <f t="shared" si="0"/>
        <v>1.2866225134395457E-3</v>
      </c>
      <c r="I19" s="34">
        <f t="shared" si="1"/>
        <v>0.67750258617685655</v>
      </c>
      <c r="J19" s="34">
        <f t="shared" si="5"/>
        <v>0.1284429888553168</v>
      </c>
      <c r="K19" s="34">
        <f t="shared" si="6"/>
        <v>6.3624857287417058E-4</v>
      </c>
    </row>
    <row r="20" spans="1:11" x14ac:dyDescent="0.35">
      <c r="A20" s="31" t="s">
        <v>16</v>
      </c>
      <c r="B20" s="38">
        <f>B16-B17*(0.45+0.34*B13^(-0.69))</f>
        <v>281.50180628430104</v>
      </c>
      <c r="D20" s="28">
        <v>600</v>
      </c>
      <c r="E20" s="28">
        <f t="shared" si="2"/>
        <v>4</v>
      </c>
      <c r="F20" s="34">
        <f t="shared" si="3"/>
        <v>5.9701492537313432E-2</v>
      </c>
      <c r="G20" s="35">
        <f t="shared" si="4"/>
        <v>5.9701492537313433E-4</v>
      </c>
      <c r="H20" s="35">
        <f t="shared" si="0"/>
        <v>9.8974939189197921E-4</v>
      </c>
      <c r="I20" s="34">
        <f t="shared" si="1"/>
        <v>0.77659558097407755</v>
      </c>
      <c r="J20" s="34">
        <f t="shared" si="5"/>
        <v>9.9092994797221001E-2</v>
      </c>
      <c r="K20" s="34">
        <f t="shared" si="6"/>
        <v>1.5658931829314531E-2</v>
      </c>
    </row>
    <row r="21" spans="1:11" x14ac:dyDescent="0.35">
      <c r="A21" s="31" t="s">
        <v>17</v>
      </c>
      <c r="B21" s="38">
        <f>B17*(0.78+1.54*B13^(-0.75))</f>
        <v>231.63235562852424</v>
      </c>
      <c r="D21" s="28">
        <v>700</v>
      </c>
      <c r="E21" s="28">
        <f t="shared" si="2"/>
        <v>4</v>
      </c>
      <c r="F21" s="34">
        <f t="shared" si="3"/>
        <v>5.9701492537313432E-2</v>
      </c>
      <c r="G21" s="35">
        <f t="shared" si="4"/>
        <v>5.9701492537313433E-4</v>
      </c>
      <c r="H21" s="35">
        <f t="shared" si="0"/>
        <v>7.1747393675546404E-4</v>
      </c>
      <c r="I21" s="34">
        <f t="shared" si="1"/>
        <v>0.84858128126129562</v>
      </c>
      <c r="J21" s="34">
        <f t="shared" si="5"/>
        <v>7.1985700287218068E-2</v>
      </c>
      <c r="K21" s="34">
        <f t="shared" si="6"/>
        <v>2.0962741133409737E-3</v>
      </c>
    </row>
    <row r="22" spans="1:11" x14ac:dyDescent="0.35">
      <c r="D22" s="28">
        <v>800</v>
      </c>
      <c r="E22" s="28">
        <f t="shared" si="2"/>
        <v>5</v>
      </c>
      <c r="F22" s="34">
        <f t="shared" si="3"/>
        <v>7.4626865671641784E-2</v>
      </c>
      <c r="G22" s="35">
        <f t="shared" si="4"/>
        <v>7.4626865671641781E-4</v>
      </c>
      <c r="H22" s="35">
        <f t="shared" si="0"/>
        <v>5.0042282227959981E-4</v>
      </c>
      <c r="I22" s="34">
        <f t="shared" si="1"/>
        <v>0.89886421223654411</v>
      </c>
      <c r="J22" s="34">
        <f t="shared" si="5"/>
        <v>5.0282930975248497E-2</v>
      </c>
      <c r="K22" s="34">
        <f t="shared" si="6"/>
        <v>1.1785851480972311E-2</v>
      </c>
    </row>
    <row r="23" spans="1:11" x14ac:dyDescent="0.35">
      <c r="A23" s="37" t="s">
        <v>53</v>
      </c>
      <c r="B23" s="37" t="s">
        <v>75</v>
      </c>
      <c r="D23" s="28">
        <v>900</v>
      </c>
      <c r="E23" s="28">
        <f t="shared" si="2"/>
        <v>2</v>
      </c>
      <c r="F23" s="34">
        <f t="shared" si="3"/>
        <v>2.9850746268656716E-2</v>
      </c>
      <c r="G23" s="35">
        <f t="shared" si="4"/>
        <v>2.9850746268656717E-4</v>
      </c>
      <c r="H23" s="35">
        <f t="shared" si="0"/>
        <v>3.4040100169950175E-4</v>
      </c>
      <c r="I23" s="34">
        <f t="shared" si="1"/>
        <v>0.93310240446868231</v>
      </c>
      <c r="J23" s="34">
        <f t="shared" si="5"/>
        <v>3.4238192232138198E-2</v>
      </c>
      <c r="K23" s="34">
        <f t="shared" si="6"/>
        <v>5.6222834289717399E-4</v>
      </c>
    </row>
    <row r="24" spans="1:11" x14ac:dyDescent="0.35">
      <c r="A24" s="28">
        <v>10</v>
      </c>
      <c r="B24" s="38">
        <f>$B$20-$B$21*LN(-LN(1-1/A24))</f>
        <v>802.75969133914896</v>
      </c>
      <c r="D24" s="28">
        <v>1000</v>
      </c>
      <c r="E24" s="28">
        <f t="shared" si="2"/>
        <v>3</v>
      </c>
      <c r="F24" s="34">
        <f t="shared" si="3"/>
        <v>4.4776119402985072E-2</v>
      </c>
      <c r="G24" s="35">
        <f t="shared" si="4"/>
        <v>4.477611940298507E-4</v>
      </c>
      <c r="H24" s="35">
        <f t="shared" si="0"/>
        <v>2.2781428158775042E-4</v>
      </c>
      <c r="I24" s="34">
        <f t="shared" si="1"/>
        <v>0.95603178439187042</v>
      </c>
      <c r="J24" s="34">
        <f t="shared" si="5"/>
        <v>2.2929379923188109E-2</v>
      </c>
      <c r="K24" s="34">
        <f t="shared" si="6"/>
        <v>2.0815217310584739E-2</v>
      </c>
    </row>
    <row r="25" spans="1:11" x14ac:dyDescent="0.35">
      <c r="A25" s="28">
        <v>20</v>
      </c>
      <c r="B25" s="38">
        <f t="shared" ref="B25:B31" si="7">$B$20-$B$21*LN(-LN(1-1/A25))</f>
        <v>969.49512849658868</v>
      </c>
      <c r="D25" s="28">
        <v>1100</v>
      </c>
      <c r="E25" s="28">
        <f t="shared" si="2"/>
        <v>0</v>
      </c>
      <c r="F25" s="34">
        <f t="shared" si="3"/>
        <v>0</v>
      </c>
      <c r="G25" s="35">
        <f t="shared" si="4"/>
        <v>0</v>
      </c>
      <c r="H25" s="35">
        <f t="shared" si="0"/>
        <v>1.508634428148913E-4</v>
      </c>
      <c r="I25" s="34">
        <f t="shared" si="1"/>
        <v>0.97122283881273708</v>
      </c>
      <c r="J25" s="34">
        <f t="shared" si="5"/>
        <v>1.5191054420866656E-2</v>
      </c>
      <c r="K25" s="34">
        <f t="shared" si="6"/>
        <v>1.5191054420866656E-2</v>
      </c>
    </row>
    <row r="26" spans="1:11" x14ac:dyDescent="0.35">
      <c r="A26" s="28">
        <v>30</v>
      </c>
      <c r="B26" s="38">
        <f t="shared" si="7"/>
        <v>1065.4139119541762</v>
      </c>
      <c r="D26" s="28">
        <v>1200</v>
      </c>
      <c r="E26" s="28">
        <f t="shared" si="2"/>
        <v>0</v>
      </c>
      <c r="F26" s="34">
        <f t="shared" si="3"/>
        <v>0</v>
      </c>
      <c r="G26" s="35">
        <f t="shared" si="4"/>
        <v>0</v>
      </c>
      <c r="H26" s="35">
        <f t="shared" si="0"/>
        <v>9.9222071394434669E-5</v>
      </c>
      <c r="I26" s="34">
        <f t="shared" si="1"/>
        <v>0.98121682243204322</v>
      </c>
      <c r="J26" s="34">
        <f t="shared" si="5"/>
        <v>9.993983619306146E-3</v>
      </c>
      <c r="K26" s="34">
        <f t="shared" si="6"/>
        <v>9.993983619306146E-3</v>
      </c>
    </row>
    <row r="27" spans="1:11" x14ac:dyDescent="0.35">
      <c r="A27" s="28">
        <v>50</v>
      </c>
      <c r="B27" s="38">
        <f t="shared" si="7"/>
        <v>1185.3170491399806</v>
      </c>
      <c r="D27" s="28">
        <v>1300</v>
      </c>
      <c r="E27" s="28">
        <f t="shared" si="2"/>
        <v>0</v>
      </c>
      <c r="F27" s="34">
        <f t="shared" si="3"/>
        <v>0</v>
      </c>
      <c r="G27" s="35">
        <f t="shared" ref="G27:G29" si="8">F27/(D27-D26)</f>
        <v>0</v>
      </c>
      <c r="H27" s="35">
        <f t="shared" si="0"/>
        <v>6.4967799835251067E-5</v>
      </c>
      <c r="I27" s="34">
        <f t="shared" ref="I27:I29" si="9">EXP(-EXP(($B$20-D27)/$B$21))</f>
        <v>0.98776184583730409</v>
      </c>
      <c r="J27" s="34">
        <f t="shared" si="5"/>
        <v>6.5450234052608636E-3</v>
      </c>
      <c r="K27" s="34">
        <f t="shared" ref="K27:K29" si="10">(F27-J27)^2/J27</f>
        <v>6.5450234052608636E-3</v>
      </c>
    </row>
    <row r="28" spans="1:11" x14ac:dyDescent="0.35">
      <c r="A28" s="28">
        <v>70</v>
      </c>
      <c r="B28" s="38">
        <f t="shared" si="7"/>
        <v>1263.9263166723017</v>
      </c>
      <c r="D28" s="28">
        <v>1400</v>
      </c>
      <c r="E28" s="28">
        <f t="shared" si="2"/>
        <v>1</v>
      </c>
      <c r="F28" s="34">
        <f t="shared" si="3"/>
        <v>1.4925373134328358E-2</v>
      </c>
      <c r="G28" s="35">
        <f t="shared" si="8"/>
        <v>1.4925373134328358E-4</v>
      </c>
      <c r="H28" s="35">
        <f t="shared" si="0"/>
        <v>4.2416208234660731E-5</v>
      </c>
      <c r="I28" s="34">
        <f t="shared" si="9"/>
        <v>0.99203549475474928</v>
      </c>
      <c r="J28" s="34">
        <f t="shared" si="5"/>
        <v>4.2736489174451942E-3</v>
      </c>
      <c r="K28" s="34">
        <f t="shared" si="10"/>
        <v>2.6548560956748329E-2</v>
      </c>
    </row>
    <row r="29" spans="1:11" x14ac:dyDescent="0.35">
      <c r="A29" s="28">
        <v>100</v>
      </c>
      <c r="B29" s="38">
        <f t="shared" si="7"/>
        <v>1347.0452079252943</v>
      </c>
      <c r="D29" s="28">
        <v>1500</v>
      </c>
      <c r="E29" s="28">
        <f t="shared" si="2"/>
        <v>0</v>
      </c>
      <c r="F29" s="34">
        <f t="shared" si="3"/>
        <v>0</v>
      </c>
      <c r="G29" s="35">
        <f t="shared" si="8"/>
        <v>0</v>
      </c>
      <c r="H29" s="35">
        <f t="shared" si="0"/>
        <v>2.7640746476746474E-5</v>
      </c>
      <c r="I29" s="34">
        <f t="shared" si="9"/>
        <v>0.99482066604621322</v>
      </c>
      <c r="J29" s="34">
        <f t="shared" si="5"/>
        <v>2.7851712914639393E-3</v>
      </c>
      <c r="K29" s="34">
        <f t="shared" si="10"/>
        <v>2.7851712914639393E-3</v>
      </c>
    </row>
    <row r="30" spans="1:11" x14ac:dyDescent="0.35">
      <c r="A30" s="28">
        <v>150</v>
      </c>
      <c r="B30" s="38">
        <f t="shared" si="7"/>
        <v>1441.352801436055</v>
      </c>
      <c r="I30" s="34"/>
      <c r="J30" s="34"/>
    </row>
    <row r="31" spans="1:11" x14ac:dyDescent="0.35">
      <c r="A31" s="28">
        <v>200</v>
      </c>
      <c r="B31" s="38">
        <f t="shared" si="7"/>
        <v>1508.1832478258309</v>
      </c>
      <c r="J31" s="37" t="s">
        <v>52</v>
      </c>
      <c r="K31" s="36">
        <f>B13*SUM(K15:K29)</f>
        <v>9.2999973302192149</v>
      </c>
    </row>
  </sheetData>
  <mergeCells count="4">
    <mergeCell ref="B3:K3"/>
    <mergeCell ref="A12:B12"/>
    <mergeCell ref="D12:F12"/>
    <mergeCell ref="H12:J1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23"/>
  <sheetViews>
    <sheetView zoomScale="85" zoomScaleNormal="85" workbookViewId="0">
      <selection activeCell="H12" sqref="H12:H15"/>
    </sheetView>
  </sheetViews>
  <sheetFormatPr defaultRowHeight="13" x14ac:dyDescent="0.3"/>
  <cols>
    <col min="1" max="3" width="8.3984375" customWidth="1"/>
    <col min="4" max="4" width="7.09765625" customWidth="1"/>
    <col min="5" max="6" width="9.09765625" customWidth="1"/>
    <col min="7" max="7" width="8.8984375" bestFit="1" customWidth="1"/>
    <col min="8" max="8" width="11.296875" customWidth="1"/>
    <col min="9" max="9" width="9.8984375" customWidth="1"/>
  </cols>
  <sheetData>
    <row r="1" spans="1:24" ht="18.5" x14ac:dyDescent="0.45">
      <c r="A1" s="15"/>
      <c r="B1" s="24" t="s">
        <v>34</v>
      </c>
      <c r="C1" s="15"/>
      <c r="D1" s="15"/>
      <c r="E1" s="15"/>
      <c r="F1" s="15"/>
      <c r="G1" s="15"/>
      <c r="H1" s="15"/>
      <c r="I1" s="15"/>
    </row>
    <row r="2" spans="1:24" ht="13.5" customHeight="1" x14ac:dyDescent="0.35">
      <c r="A2" s="109" t="s">
        <v>19</v>
      </c>
      <c r="B2" s="109"/>
      <c r="C2" s="109"/>
      <c r="D2" s="108" t="s">
        <v>32</v>
      </c>
      <c r="E2" s="108"/>
      <c r="F2" s="108"/>
      <c r="G2" s="108"/>
      <c r="H2" s="110"/>
      <c r="I2" s="26" t="s">
        <v>33</v>
      </c>
    </row>
    <row r="3" spans="1:24" ht="14.5" x14ac:dyDescent="0.35">
      <c r="A3" s="23" t="s">
        <v>20</v>
      </c>
      <c r="B3" s="23" t="s">
        <v>21</v>
      </c>
      <c r="C3" s="23" t="s">
        <v>22</v>
      </c>
      <c r="D3" s="23" t="s">
        <v>23</v>
      </c>
      <c r="E3" s="23" t="s">
        <v>25</v>
      </c>
      <c r="F3" s="23" t="s">
        <v>29</v>
      </c>
      <c r="G3" s="23" t="s">
        <v>26</v>
      </c>
      <c r="H3" s="25" t="s">
        <v>27</v>
      </c>
      <c r="I3" s="27" t="s">
        <v>28</v>
      </c>
    </row>
    <row r="4" spans="1:24" ht="14.5" x14ac:dyDescent="0.35">
      <c r="A4" s="15">
        <v>0</v>
      </c>
      <c r="B4" s="15">
        <v>1</v>
      </c>
      <c r="C4" s="15">
        <v>0.5</v>
      </c>
      <c r="D4" s="15">
        <v>7830</v>
      </c>
      <c r="E4" s="16">
        <f t="shared" ref="E4:E17" si="0">D4/$D$19</f>
        <v>0.13094521372667067</v>
      </c>
      <c r="F4" s="16">
        <f>E4/1.5</f>
        <v>8.7296809151113777E-2</v>
      </c>
      <c r="G4" s="17">
        <f t="shared" ref="G4:G17" si="1">(C4-$D$20)^2</f>
        <v>12.065096992653809</v>
      </c>
      <c r="H4" s="18">
        <f t="shared" ref="H4:H17" si="2">(C4-$D$20)^3</f>
        <v>-41.907931599483113</v>
      </c>
      <c r="I4" s="22">
        <f t="shared" ref="I4:I17" si="3">$H$19*$H$20*C4^($H$19-1)*EXP(-$H$20*C4^$H$19)</f>
        <v>6.0971220620925956E-2</v>
      </c>
    </row>
    <row r="5" spans="1:24" ht="14.5" x14ac:dyDescent="0.35">
      <c r="A5" s="15">
        <v>2</v>
      </c>
      <c r="B5" s="15">
        <v>3</v>
      </c>
      <c r="C5" s="15">
        <v>2.5</v>
      </c>
      <c r="D5" s="15">
        <v>16666</v>
      </c>
      <c r="E5" s="16">
        <f t="shared" si="0"/>
        <v>0.27871429527058666</v>
      </c>
      <c r="F5" s="16">
        <f>E5/(B5-A5+1)</f>
        <v>0.13935714763529333</v>
      </c>
      <c r="G5" s="17">
        <f t="shared" si="1"/>
        <v>2.1711575987144158</v>
      </c>
      <c r="H5" s="18">
        <f t="shared" si="2"/>
        <v>-3.1991678253784377</v>
      </c>
      <c r="I5" s="22">
        <f t="shared" si="3"/>
        <v>0.17982820747099162</v>
      </c>
    </row>
    <row r="6" spans="1:24" ht="14.5" x14ac:dyDescent="0.35">
      <c r="A6" s="15">
        <v>4</v>
      </c>
      <c r="B6" s="15">
        <v>5</v>
      </c>
      <c r="C6" s="15">
        <v>4.5</v>
      </c>
      <c r="D6" s="15">
        <v>23491</v>
      </c>
      <c r="E6" s="16">
        <f t="shared" si="0"/>
        <v>0.39285236470666934</v>
      </c>
      <c r="F6" s="16">
        <f t="shared" ref="F6:F17" si="4">E6/(B6-A6+1)</f>
        <v>0.19642618235333467</v>
      </c>
      <c r="G6" s="17">
        <f t="shared" si="1"/>
        <v>0.27721820477502329</v>
      </c>
      <c r="H6" s="18">
        <f t="shared" si="2"/>
        <v>0.14595958508987977</v>
      </c>
      <c r="I6" s="22">
        <f t="shared" si="3"/>
        <v>0.15292940453399995</v>
      </c>
    </row>
    <row r="7" spans="1:24" ht="14.5" x14ac:dyDescent="0.35">
      <c r="A7" s="15">
        <v>6</v>
      </c>
      <c r="B7" s="15">
        <v>7</v>
      </c>
      <c r="C7" s="15">
        <v>6.5</v>
      </c>
      <c r="D7" s="15">
        <v>8107</v>
      </c>
      <c r="E7" s="16">
        <f t="shared" si="0"/>
        <v>0.13557763061074318</v>
      </c>
      <c r="F7" s="16">
        <f t="shared" si="4"/>
        <v>6.7788815305371591E-2</v>
      </c>
      <c r="G7" s="17">
        <f t="shared" si="1"/>
        <v>6.3832788108356304</v>
      </c>
      <c r="H7" s="18">
        <f t="shared" si="2"/>
        <v>16.127450631921842</v>
      </c>
      <c r="I7" s="22">
        <f t="shared" si="3"/>
        <v>7.7511203179853883E-2</v>
      </c>
    </row>
    <row r="8" spans="1:24" ht="14.5" x14ac:dyDescent="0.35">
      <c r="A8" s="15">
        <v>8</v>
      </c>
      <c r="B8" s="15">
        <v>9</v>
      </c>
      <c r="C8" s="15">
        <v>8.5</v>
      </c>
      <c r="D8" s="15">
        <v>2879</v>
      </c>
      <c r="E8" s="16">
        <f t="shared" si="0"/>
        <v>4.8147033246370992E-2</v>
      </c>
      <c r="F8" s="16">
        <f t="shared" si="4"/>
        <v>2.4073516623185496E-2</v>
      </c>
      <c r="G8" s="17">
        <f t="shared" si="1"/>
        <v>20.489339416896243</v>
      </c>
      <c r="H8" s="18">
        <f t="shared" si="2"/>
        <v>92.745305315117477</v>
      </c>
      <c r="I8" s="22">
        <f t="shared" si="3"/>
        <v>2.6414061307690601E-2</v>
      </c>
    </row>
    <row r="9" spans="1:24" ht="14.5" x14ac:dyDescent="0.35">
      <c r="A9" s="15">
        <v>10</v>
      </c>
      <c r="B9" s="15">
        <v>11</v>
      </c>
      <c r="C9" s="15">
        <v>10.5</v>
      </c>
      <c r="D9" s="15">
        <v>622</v>
      </c>
      <c r="E9" s="16">
        <f t="shared" si="0"/>
        <v>1.0402033580841527E-2</v>
      </c>
      <c r="F9" s="16">
        <f t="shared" si="4"/>
        <v>5.2010167904207637E-3</v>
      </c>
      <c r="G9" s="17">
        <f t="shared" si="1"/>
        <v>42.595400022956852</v>
      </c>
      <c r="H9" s="18">
        <f t="shared" si="2"/>
        <v>277.99952363467673</v>
      </c>
      <c r="I9" s="22">
        <f t="shared" si="3"/>
        <v>6.3479672672863393E-3</v>
      </c>
    </row>
    <row r="10" spans="1:24" ht="14.5" x14ac:dyDescent="0.35">
      <c r="A10" s="15">
        <v>12</v>
      </c>
      <c r="B10" s="15">
        <v>13</v>
      </c>
      <c r="C10" s="15">
        <v>12.5</v>
      </c>
      <c r="D10" s="15">
        <v>162</v>
      </c>
      <c r="E10" s="16">
        <f t="shared" si="0"/>
        <v>2.7092113184828417E-3</v>
      </c>
      <c r="F10" s="16">
        <f t="shared" si="4"/>
        <v>1.3546056592414208E-3</v>
      </c>
      <c r="G10" s="17">
        <f t="shared" si="1"/>
        <v>72.701460629017461</v>
      </c>
      <c r="H10" s="18">
        <f t="shared" si="2"/>
        <v>619.89010559059966</v>
      </c>
      <c r="I10" s="22">
        <f t="shared" si="3"/>
        <v>1.1037266600520458E-3</v>
      </c>
    </row>
    <row r="11" spans="1:24" ht="14.5" x14ac:dyDescent="0.35">
      <c r="A11" s="15">
        <v>14</v>
      </c>
      <c r="B11" s="15">
        <v>15</v>
      </c>
      <c r="C11" s="15">
        <v>14.5</v>
      </c>
      <c r="D11" s="15">
        <v>30</v>
      </c>
      <c r="E11" s="16">
        <f t="shared" si="0"/>
        <v>5.0170579971904475E-4</v>
      </c>
      <c r="F11" s="16">
        <f t="shared" si="4"/>
        <v>2.5085289985952238E-4</v>
      </c>
      <c r="G11" s="17">
        <f t="shared" si="1"/>
        <v>110.80752123507807</v>
      </c>
      <c r="H11" s="18">
        <f t="shared" si="2"/>
        <v>1166.4170511828863</v>
      </c>
      <c r="I11" s="22">
        <f t="shared" si="3"/>
        <v>1.41098007940193E-4</v>
      </c>
      <c r="P11" s="14"/>
      <c r="Q11" s="14"/>
      <c r="R11" s="14"/>
      <c r="S11" s="14"/>
      <c r="T11" s="14"/>
      <c r="U11" s="14"/>
      <c r="V11" s="14"/>
      <c r="W11" s="14"/>
      <c r="X11" s="14"/>
    </row>
    <row r="12" spans="1:24" ht="14.5" x14ac:dyDescent="0.35">
      <c r="A12" s="15">
        <v>16</v>
      </c>
      <c r="B12" s="15">
        <v>17</v>
      </c>
      <c r="C12" s="15">
        <v>16.5</v>
      </c>
      <c r="D12" s="15">
        <v>8</v>
      </c>
      <c r="E12" s="16">
        <f t="shared" si="0"/>
        <v>1.3378821325841193E-4</v>
      </c>
      <c r="F12" s="16">
        <f t="shared" si="4"/>
        <v>6.6894106629205967E-5</v>
      </c>
      <c r="G12" s="17">
        <f t="shared" si="1"/>
        <v>156.91358184113867</v>
      </c>
      <c r="H12" s="18">
        <f t="shared" si="2"/>
        <v>1965.5803604115363</v>
      </c>
      <c r="I12" s="22">
        <f t="shared" si="3"/>
        <v>1.3412720803153101E-5</v>
      </c>
    </row>
    <row r="13" spans="1:24" ht="14.5" x14ac:dyDescent="0.35">
      <c r="A13" s="15">
        <v>18</v>
      </c>
      <c r="B13" s="15">
        <v>20</v>
      </c>
      <c r="C13" s="15">
        <v>19</v>
      </c>
      <c r="D13" s="15">
        <v>1</v>
      </c>
      <c r="E13" s="16">
        <f t="shared" si="0"/>
        <v>1.6723526657301492E-5</v>
      </c>
      <c r="F13" s="16">
        <f t="shared" si="4"/>
        <v>5.5745088857671642E-6</v>
      </c>
      <c r="G13" s="17">
        <f t="shared" si="1"/>
        <v>225.79615759871444</v>
      </c>
      <c r="H13" s="18">
        <f t="shared" si="2"/>
        <v>3392.9293833109859</v>
      </c>
      <c r="I13" s="22">
        <f t="shared" si="3"/>
        <v>4.7272901496997835E-7</v>
      </c>
    </row>
    <row r="14" spans="1:24" ht="14.5" x14ac:dyDescent="0.35">
      <c r="A14" s="15">
        <v>21</v>
      </c>
      <c r="B14" s="15">
        <v>24</v>
      </c>
      <c r="C14" s="15">
        <v>22.5</v>
      </c>
      <c r="D14" s="15">
        <v>0</v>
      </c>
      <c r="E14" s="16">
        <f t="shared" si="0"/>
        <v>0</v>
      </c>
      <c r="F14" s="16">
        <f t="shared" si="4"/>
        <v>0</v>
      </c>
      <c r="G14" s="17">
        <f t="shared" si="1"/>
        <v>343.23176365932051</v>
      </c>
      <c r="H14" s="18">
        <f t="shared" si="2"/>
        <v>6358.8884699156688</v>
      </c>
      <c r="I14" s="22">
        <f t="shared" si="3"/>
        <v>2.1024719711335517E-9</v>
      </c>
    </row>
    <row r="15" spans="1:24" ht="14.5" x14ac:dyDescent="0.35">
      <c r="A15" s="15">
        <v>25</v>
      </c>
      <c r="B15" s="15">
        <v>28</v>
      </c>
      <c r="C15" s="15">
        <v>26.5</v>
      </c>
      <c r="D15" s="15">
        <v>0</v>
      </c>
      <c r="E15" s="16">
        <f t="shared" si="0"/>
        <v>0</v>
      </c>
      <c r="F15" s="16">
        <f t="shared" si="4"/>
        <v>0</v>
      </c>
      <c r="G15" s="17">
        <f t="shared" si="1"/>
        <v>507.4438848714417</v>
      </c>
      <c r="H15" s="18">
        <f t="shared" si="2"/>
        <v>11430.942361100242</v>
      </c>
      <c r="I15" s="22">
        <f t="shared" si="3"/>
        <v>1.5628519378873829E-12</v>
      </c>
    </row>
    <row r="16" spans="1:24" ht="14.5" x14ac:dyDescent="0.35">
      <c r="A16" s="15">
        <v>29</v>
      </c>
      <c r="B16" s="15">
        <v>34</v>
      </c>
      <c r="C16" s="15">
        <v>31.5</v>
      </c>
      <c r="D16" s="15">
        <v>0</v>
      </c>
      <c r="E16" s="16">
        <f t="shared" si="0"/>
        <v>0</v>
      </c>
      <c r="F16" s="16">
        <f t="shared" si="4"/>
        <v>0</v>
      </c>
      <c r="G16" s="17">
        <f t="shared" si="1"/>
        <v>757.7090363865932</v>
      </c>
      <c r="H16" s="18">
        <f t="shared" si="2"/>
        <v>20857.089270535504</v>
      </c>
      <c r="I16" s="22">
        <f t="shared" si="3"/>
        <v>4.3670332204254744E-17</v>
      </c>
    </row>
    <row r="17" spans="1:9" ht="14.5" x14ac:dyDescent="0.35">
      <c r="A17" s="15">
        <v>35</v>
      </c>
      <c r="B17" s="15">
        <v>40</v>
      </c>
      <c r="C17" s="15">
        <v>37.5</v>
      </c>
      <c r="D17" s="15">
        <v>0</v>
      </c>
      <c r="E17" s="16">
        <f t="shared" si="0"/>
        <v>0</v>
      </c>
      <c r="F17" s="16">
        <f t="shared" si="4"/>
        <v>0</v>
      </c>
      <c r="G17" s="17">
        <f t="shared" si="1"/>
        <v>1124.0272182047747</v>
      </c>
      <c r="H17" s="18">
        <f t="shared" si="2"/>
        <v>37684.715561857804</v>
      </c>
      <c r="I17" s="22">
        <f t="shared" si="3"/>
        <v>1.8126759285643586E-23</v>
      </c>
    </row>
    <row r="18" spans="1:9" ht="14.5" x14ac:dyDescent="0.35">
      <c r="A18" s="15"/>
      <c r="B18" s="15"/>
      <c r="C18" s="15"/>
      <c r="D18" s="15"/>
      <c r="E18" s="15"/>
      <c r="F18" s="15"/>
      <c r="G18" s="15"/>
      <c r="H18" s="15"/>
      <c r="I18" s="15"/>
    </row>
    <row r="19" spans="1:9" ht="14.5" x14ac:dyDescent="0.35">
      <c r="A19" s="15"/>
      <c r="B19" s="15"/>
      <c r="C19" s="19" t="s">
        <v>2</v>
      </c>
      <c r="D19" s="15">
        <f>SUM(D4:D17)</f>
        <v>59796</v>
      </c>
      <c r="E19" s="15"/>
      <c r="F19" s="15"/>
      <c r="G19" s="19" t="s">
        <v>16</v>
      </c>
      <c r="H19" s="20">
        <v>1.8707715612026912</v>
      </c>
      <c r="I19" s="15"/>
    </row>
    <row r="20" spans="1:9" ht="14.5" x14ac:dyDescent="0.35">
      <c r="A20" s="15"/>
      <c r="B20" s="15"/>
      <c r="C20" s="19" t="s">
        <v>5</v>
      </c>
      <c r="D20" s="17">
        <f>SUMPRODUCT(C4:C17,E4:E17)</f>
        <v>3.9734848484848482</v>
      </c>
      <c r="E20" s="15"/>
      <c r="F20" s="15"/>
      <c r="G20" s="19" t="s">
        <v>17</v>
      </c>
      <c r="H20" s="20">
        <f>(_xlfn.GAMMA(1+1/H19)/D20)^H19</f>
        <v>6.0593755621857343E-2</v>
      </c>
      <c r="I20" s="15"/>
    </row>
    <row r="21" spans="1:9" ht="14.5" x14ac:dyDescent="0.35">
      <c r="A21" s="15"/>
      <c r="B21" s="15"/>
      <c r="C21" s="19" t="s">
        <v>7</v>
      </c>
      <c r="D21" s="17">
        <f>SQRT(SUMPRODUCT(G4:G17,E4:E17))</f>
        <v>2.2059556631476012</v>
      </c>
      <c r="E21" s="15"/>
      <c r="F21" s="15"/>
      <c r="G21" s="19" t="s">
        <v>18</v>
      </c>
      <c r="H21" s="15">
        <f>_xlfn.GAMMA(1+2/H19)-(1+D22^2)*(_xlfn.GAMMA(1+1/H19))^2</f>
        <v>9.0363747595745281E-9</v>
      </c>
      <c r="I21" s="15"/>
    </row>
    <row r="22" spans="1:9" ht="14.5" x14ac:dyDescent="0.35">
      <c r="A22" s="15"/>
      <c r="B22" s="15"/>
      <c r="C22" s="19" t="s">
        <v>9</v>
      </c>
      <c r="D22" s="18">
        <f>D21/D20</f>
        <v>0.55516901341369562</v>
      </c>
      <c r="E22" s="15"/>
      <c r="F22" s="15"/>
      <c r="G22" s="19" t="s">
        <v>30</v>
      </c>
      <c r="H22" s="21">
        <f>365*24*EXP(-H20*10^H19)</f>
        <v>97.328000994825757</v>
      </c>
      <c r="I22" s="15"/>
    </row>
    <row r="23" spans="1:9" ht="14.5" x14ac:dyDescent="0.35">
      <c r="C23" s="19" t="s">
        <v>24</v>
      </c>
      <c r="D23" s="18">
        <f>SUMPRODUCT(H4:H17,E4:E17)/D21^3</f>
        <v>0.54086802079942464</v>
      </c>
      <c r="E23" s="15"/>
      <c r="F23" s="15"/>
      <c r="G23" s="19" t="s">
        <v>31</v>
      </c>
      <c r="H23" s="17">
        <f>365*24*EXP(-H20*15^H19)</f>
        <v>0.58866794557037749</v>
      </c>
    </row>
  </sheetData>
  <mergeCells count="2">
    <mergeCell ref="A2:C2"/>
    <mergeCell ref="D2:H2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48"/>
  <sheetViews>
    <sheetView zoomScale="40" zoomScaleNormal="40" workbookViewId="0">
      <selection activeCell="L38" sqref="L38"/>
    </sheetView>
  </sheetViews>
  <sheetFormatPr defaultColWidth="8.8984375" defaultRowHeight="14.5" x14ac:dyDescent="0.35"/>
  <cols>
    <col min="1" max="1" width="8.8984375" style="15"/>
    <col min="2" max="2" width="8.8984375" style="15" customWidth="1"/>
    <col min="3" max="5" width="9.09765625" style="15" customWidth="1"/>
    <col min="6" max="8" width="9.296875" style="15" customWidth="1"/>
    <col min="9" max="14" width="8.8984375" style="15"/>
    <col min="15" max="15" width="27.3984375" style="15" customWidth="1"/>
    <col min="16" max="16384" width="8.8984375" style="15"/>
  </cols>
  <sheetData>
    <row r="1" spans="1:11" ht="18.5" x14ac:dyDescent="0.45">
      <c r="B1" s="24" t="s">
        <v>54</v>
      </c>
    </row>
    <row r="3" spans="1:11" x14ac:dyDescent="0.35">
      <c r="A3" s="109" t="s">
        <v>72</v>
      </c>
      <c r="B3" s="109" t="s">
        <v>62</v>
      </c>
      <c r="C3" s="108" t="s">
        <v>79</v>
      </c>
      <c r="D3" s="108"/>
      <c r="E3" s="108"/>
      <c r="F3" s="108" t="s">
        <v>79</v>
      </c>
      <c r="G3" s="108"/>
      <c r="H3" s="108"/>
      <c r="I3" s="108" t="s">
        <v>79</v>
      </c>
      <c r="J3" s="108"/>
      <c r="K3" s="108"/>
    </row>
    <row r="4" spans="1:11" x14ac:dyDescent="0.35">
      <c r="A4" s="109"/>
      <c r="B4" s="109"/>
      <c r="C4" s="62" t="s">
        <v>57</v>
      </c>
      <c r="D4" s="62" t="s">
        <v>58</v>
      </c>
      <c r="E4" s="62" t="s">
        <v>59</v>
      </c>
      <c r="F4" s="62" t="s">
        <v>57</v>
      </c>
      <c r="G4" s="62" t="s">
        <v>58</v>
      </c>
      <c r="H4" s="62" t="s">
        <v>59</v>
      </c>
      <c r="I4" s="62" t="s">
        <v>57</v>
      </c>
      <c r="J4" s="62" t="s">
        <v>58</v>
      </c>
      <c r="K4" s="62" t="s">
        <v>59</v>
      </c>
    </row>
    <row r="5" spans="1:11" x14ac:dyDescent="0.35">
      <c r="A5" s="111" t="s">
        <v>70</v>
      </c>
      <c r="B5" s="58">
        <v>200</v>
      </c>
      <c r="C5" s="46">
        <v>6.5000000000000002E-2</v>
      </c>
      <c r="D5" s="46">
        <v>6.9000000000000006E-2</v>
      </c>
      <c r="E5" s="46">
        <v>7.3999999999999996E-2</v>
      </c>
      <c r="F5" s="65">
        <f t="shared" ref="F5:H34" si="0">F$38+F$39*$B5</f>
        <v>6.6000000000000003E-2</v>
      </c>
      <c r="G5" s="65">
        <f t="shared" si="0"/>
        <v>8.2000000000000003E-2</v>
      </c>
      <c r="H5" s="65">
        <f t="shared" si="0"/>
        <v>9.6000000000000002E-2</v>
      </c>
      <c r="I5" s="60">
        <f>100*(F5-C5)/C5</f>
        <v>1.5384615384615399</v>
      </c>
      <c r="J5" s="60">
        <f t="shared" ref="J5:K5" si="1">100*(G5-D5)/D5</f>
        <v>18.840579710144922</v>
      </c>
      <c r="K5" s="60">
        <f t="shared" si="1"/>
        <v>29.72972972972974</v>
      </c>
    </row>
    <row r="6" spans="1:11" x14ac:dyDescent="0.35">
      <c r="A6" s="111"/>
      <c r="B6" s="58">
        <v>300</v>
      </c>
      <c r="C6" s="60">
        <v>0.08</v>
      </c>
      <c r="D6" s="60">
        <v>0.09</v>
      </c>
      <c r="E6" s="60">
        <v>0.1</v>
      </c>
      <c r="F6" s="65">
        <f t="shared" si="0"/>
        <v>9.9000000000000005E-2</v>
      </c>
      <c r="G6" s="65">
        <f t="shared" si="0"/>
        <v>0.123</v>
      </c>
      <c r="H6" s="65">
        <f t="shared" si="0"/>
        <v>0.14400000000000002</v>
      </c>
      <c r="I6" s="60">
        <f t="shared" ref="I6:I34" si="2">100*(F6-C6)/C6</f>
        <v>23.750000000000004</v>
      </c>
      <c r="J6" s="60">
        <f t="shared" ref="J6:J34" si="3">100*(G6-D6)/D6</f>
        <v>36.666666666666671</v>
      </c>
      <c r="K6" s="60">
        <f t="shared" ref="K6:K34" si="4">100*(H6-E6)/E6</f>
        <v>44.000000000000007</v>
      </c>
    </row>
    <row r="7" spans="1:11" x14ac:dyDescent="0.35">
      <c r="A7" s="111"/>
      <c r="B7" s="58">
        <v>400</v>
      </c>
      <c r="C7" s="60">
        <v>0.1</v>
      </c>
      <c r="D7" s="60">
        <v>0.11</v>
      </c>
      <c r="E7" s="60">
        <v>0.13</v>
      </c>
      <c r="F7" s="65">
        <f t="shared" si="0"/>
        <v>0.13200000000000001</v>
      </c>
      <c r="G7" s="65">
        <f t="shared" si="0"/>
        <v>0.16400000000000001</v>
      </c>
      <c r="H7" s="65">
        <f t="shared" si="0"/>
        <v>0.192</v>
      </c>
      <c r="I7" s="60">
        <f t="shared" si="2"/>
        <v>32</v>
      </c>
      <c r="J7" s="60">
        <f t="shared" si="3"/>
        <v>49.090909090909093</v>
      </c>
      <c r="K7" s="60">
        <f t="shared" si="4"/>
        <v>47.692307692307693</v>
      </c>
    </row>
    <row r="8" spans="1:11" x14ac:dyDescent="0.35">
      <c r="A8" s="111"/>
      <c r="B8" s="58">
        <v>500</v>
      </c>
      <c r="C8" s="60">
        <v>0.12</v>
      </c>
      <c r="D8" s="60">
        <v>0.15</v>
      </c>
      <c r="E8" s="60">
        <v>0.16</v>
      </c>
      <c r="F8" s="65">
        <f t="shared" si="0"/>
        <v>0.16500000000000001</v>
      </c>
      <c r="G8" s="65">
        <f t="shared" si="0"/>
        <v>0.20499999999999999</v>
      </c>
      <c r="H8" s="65">
        <f t="shared" si="0"/>
        <v>0.24000000000000002</v>
      </c>
      <c r="I8" s="60">
        <f t="shared" si="2"/>
        <v>37.500000000000007</v>
      </c>
      <c r="J8" s="60">
        <f t="shared" si="3"/>
        <v>36.666666666666664</v>
      </c>
      <c r="K8" s="60">
        <f t="shared" si="4"/>
        <v>50.000000000000007</v>
      </c>
    </row>
    <row r="9" spans="1:11" x14ac:dyDescent="0.35">
      <c r="A9" s="111"/>
      <c r="B9" s="58">
        <v>600</v>
      </c>
      <c r="C9" s="60">
        <v>0.13</v>
      </c>
      <c r="D9" s="60">
        <v>0.16</v>
      </c>
      <c r="E9" s="60">
        <v>0.18</v>
      </c>
      <c r="F9" s="65">
        <f t="shared" si="0"/>
        <v>0.19800000000000001</v>
      </c>
      <c r="G9" s="65">
        <f t="shared" si="0"/>
        <v>0.246</v>
      </c>
      <c r="H9" s="65">
        <f t="shared" si="0"/>
        <v>0.28800000000000003</v>
      </c>
      <c r="I9" s="60">
        <f t="shared" si="2"/>
        <v>52.307692307692314</v>
      </c>
      <c r="J9" s="60">
        <f t="shared" si="3"/>
        <v>53.75</v>
      </c>
      <c r="K9" s="60">
        <f t="shared" si="4"/>
        <v>60.000000000000028</v>
      </c>
    </row>
    <row r="10" spans="1:11" x14ac:dyDescent="0.35">
      <c r="A10" s="111"/>
      <c r="B10" s="58">
        <v>700</v>
      </c>
      <c r="C10" s="60">
        <v>0.18</v>
      </c>
      <c r="D10" s="60">
        <v>0.24</v>
      </c>
      <c r="E10" s="60">
        <v>0.27</v>
      </c>
      <c r="F10" s="65">
        <f t="shared" si="0"/>
        <v>0.23100000000000001</v>
      </c>
      <c r="G10" s="65">
        <f t="shared" si="0"/>
        <v>0.28699999999999998</v>
      </c>
      <c r="H10" s="65">
        <f t="shared" si="0"/>
        <v>0.33600000000000002</v>
      </c>
      <c r="I10" s="60">
        <f t="shared" si="2"/>
        <v>28.333333333333343</v>
      </c>
      <c r="J10" s="60">
        <f t="shared" si="3"/>
        <v>19.583333333333329</v>
      </c>
      <c r="K10" s="60">
        <f t="shared" si="4"/>
        <v>24.444444444444446</v>
      </c>
    </row>
    <row r="11" spans="1:11" x14ac:dyDescent="0.35">
      <c r="A11" s="111"/>
      <c r="B11" s="58">
        <v>800</v>
      </c>
      <c r="C11" s="60">
        <v>0.21</v>
      </c>
      <c r="D11" s="60">
        <v>0.27</v>
      </c>
      <c r="E11" s="60">
        <v>0.3</v>
      </c>
      <c r="F11" s="65">
        <f t="shared" si="0"/>
        <v>0.26400000000000001</v>
      </c>
      <c r="G11" s="65">
        <f t="shared" si="0"/>
        <v>0.32800000000000001</v>
      </c>
      <c r="H11" s="65">
        <f t="shared" si="0"/>
        <v>0.38400000000000001</v>
      </c>
      <c r="I11" s="60">
        <f t="shared" si="2"/>
        <v>25.714285714285726</v>
      </c>
      <c r="J11" s="60">
        <f t="shared" si="3"/>
        <v>21.481481481481481</v>
      </c>
      <c r="K11" s="60">
        <f t="shared" si="4"/>
        <v>28.000000000000007</v>
      </c>
    </row>
    <row r="12" spans="1:11" x14ac:dyDescent="0.35">
      <c r="A12" s="111"/>
      <c r="B12" s="58">
        <v>900</v>
      </c>
      <c r="C12" s="60">
        <v>0.24</v>
      </c>
      <c r="D12" s="60">
        <v>0.33</v>
      </c>
      <c r="E12" s="60">
        <v>0.36</v>
      </c>
      <c r="F12" s="65">
        <f t="shared" si="0"/>
        <v>0.29699999999999999</v>
      </c>
      <c r="G12" s="65">
        <f t="shared" si="0"/>
        <v>0.36899999999999999</v>
      </c>
      <c r="H12" s="65">
        <f t="shared" si="0"/>
        <v>0.432</v>
      </c>
      <c r="I12" s="60">
        <f t="shared" si="2"/>
        <v>23.749999999999996</v>
      </c>
      <c r="J12" s="60">
        <f t="shared" si="3"/>
        <v>11.818181818181811</v>
      </c>
      <c r="K12" s="60">
        <f t="shared" si="4"/>
        <v>20.000000000000004</v>
      </c>
    </row>
    <row r="13" spans="1:11" x14ac:dyDescent="0.35">
      <c r="A13" s="111"/>
      <c r="B13" s="58">
        <v>1000</v>
      </c>
      <c r="C13" s="60">
        <v>0.28999999999999998</v>
      </c>
      <c r="D13" s="60">
        <v>0.38</v>
      </c>
      <c r="E13" s="60">
        <v>0.44</v>
      </c>
      <c r="F13" s="65">
        <f t="shared" si="0"/>
        <v>0.33</v>
      </c>
      <c r="G13" s="65">
        <f t="shared" si="0"/>
        <v>0.41</v>
      </c>
      <c r="H13" s="65">
        <f t="shared" si="0"/>
        <v>0.48000000000000004</v>
      </c>
      <c r="I13" s="60">
        <f t="shared" si="2"/>
        <v>13.793103448275875</v>
      </c>
      <c r="J13" s="60">
        <f t="shared" si="3"/>
        <v>7.8947368421052557</v>
      </c>
      <c r="K13" s="60">
        <f t="shared" si="4"/>
        <v>9.0909090909090988</v>
      </c>
    </row>
    <row r="14" spans="1:11" x14ac:dyDescent="0.35">
      <c r="A14" s="111"/>
      <c r="B14" s="58">
        <v>1100</v>
      </c>
      <c r="C14" s="60">
        <v>0.34</v>
      </c>
      <c r="D14" s="60">
        <v>0.45</v>
      </c>
      <c r="E14" s="60">
        <v>0.51</v>
      </c>
      <c r="F14" s="65">
        <f t="shared" si="0"/>
        <v>0.36299999999999999</v>
      </c>
      <c r="G14" s="65">
        <f t="shared" si="0"/>
        <v>0.45100000000000001</v>
      </c>
      <c r="H14" s="65">
        <f t="shared" si="0"/>
        <v>0.52800000000000002</v>
      </c>
      <c r="I14" s="60">
        <f t="shared" si="2"/>
        <v>6.7647058823529296</v>
      </c>
      <c r="J14" s="60">
        <f t="shared" si="3"/>
        <v>0.2222222222222224</v>
      </c>
      <c r="K14" s="60">
        <f t="shared" si="4"/>
        <v>3.5294117647058854</v>
      </c>
    </row>
    <row r="15" spans="1:11" x14ac:dyDescent="0.35">
      <c r="A15" s="111"/>
      <c r="B15" s="58">
        <v>1200</v>
      </c>
      <c r="C15" s="60">
        <v>0.38</v>
      </c>
      <c r="D15" s="60">
        <v>0.49</v>
      </c>
      <c r="E15" s="60">
        <v>0.55000000000000004</v>
      </c>
      <c r="F15" s="65">
        <f t="shared" si="0"/>
        <v>0.39600000000000002</v>
      </c>
      <c r="G15" s="65">
        <f t="shared" si="0"/>
        <v>0.49199999999999999</v>
      </c>
      <c r="H15" s="65">
        <f t="shared" si="0"/>
        <v>0.57600000000000007</v>
      </c>
      <c r="I15" s="60">
        <f t="shared" si="2"/>
        <v>4.210526315789477</v>
      </c>
      <c r="J15" s="60">
        <f t="shared" si="3"/>
        <v>0.40816326530612285</v>
      </c>
      <c r="K15" s="60">
        <f t="shared" si="4"/>
        <v>4.7272727272727311</v>
      </c>
    </row>
    <row r="16" spans="1:11" ht="14.5" customHeight="1" x14ac:dyDescent="0.35">
      <c r="A16" s="111" t="s">
        <v>71</v>
      </c>
      <c r="B16" s="58">
        <v>500</v>
      </c>
      <c r="C16" s="60">
        <v>0.14000000000000001</v>
      </c>
      <c r="D16" s="60">
        <v>0.17</v>
      </c>
      <c r="E16" s="60">
        <v>0.23</v>
      </c>
      <c r="F16" s="65">
        <f t="shared" si="0"/>
        <v>0.16500000000000001</v>
      </c>
      <c r="G16" s="65">
        <f t="shared" si="0"/>
        <v>0.20499999999999999</v>
      </c>
      <c r="H16" s="65">
        <f t="shared" si="0"/>
        <v>0.24000000000000002</v>
      </c>
      <c r="I16" s="60">
        <f t="shared" si="2"/>
        <v>17.857142857142851</v>
      </c>
      <c r="J16" s="60">
        <f t="shared" si="3"/>
        <v>20.588235294117631</v>
      </c>
      <c r="K16" s="60">
        <f t="shared" si="4"/>
        <v>4.3478260869565251</v>
      </c>
    </row>
    <row r="17" spans="1:25" x14ac:dyDescent="0.35">
      <c r="A17" s="111"/>
      <c r="B17" s="58">
        <v>600</v>
      </c>
      <c r="C17" s="60">
        <v>0.16</v>
      </c>
      <c r="D17" s="60">
        <v>0.2</v>
      </c>
      <c r="E17" s="60">
        <v>0.26</v>
      </c>
      <c r="F17" s="65">
        <f t="shared" si="0"/>
        <v>0.19800000000000001</v>
      </c>
      <c r="G17" s="65">
        <f t="shared" si="0"/>
        <v>0.246</v>
      </c>
      <c r="H17" s="65">
        <f t="shared" si="0"/>
        <v>0.28800000000000003</v>
      </c>
      <c r="I17" s="60">
        <f t="shared" si="2"/>
        <v>23.750000000000004</v>
      </c>
      <c r="J17" s="60">
        <f t="shared" si="3"/>
        <v>22.999999999999993</v>
      </c>
      <c r="K17" s="60">
        <f t="shared" si="4"/>
        <v>10.769230769230779</v>
      </c>
    </row>
    <row r="18" spans="1:25" x14ac:dyDescent="0.35">
      <c r="A18" s="111"/>
      <c r="B18" s="58">
        <v>800</v>
      </c>
      <c r="C18" s="60">
        <v>0.21</v>
      </c>
      <c r="D18" s="60">
        <v>0.24</v>
      </c>
      <c r="E18" s="60">
        <v>0.31</v>
      </c>
      <c r="F18" s="65">
        <f t="shared" si="0"/>
        <v>0.26400000000000001</v>
      </c>
      <c r="G18" s="65">
        <f t="shared" si="0"/>
        <v>0.32800000000000001</v>
      </c>
      <c r="H18" s="65">
        <f t="shared" si="0"/>
        <v>0.38400000000000001</v>
      </c>
      <c r="I18" s="60">
        <f t="shared" si="2"/>
        <v>25.714285714285726</v>
      </c>
      <c r="J18" s="60">
        <f t="shared" si="3"/>
        <v>36.666666666666679</v>
      </c>
      <c r="K18" s="60">
        <f t="shared" si="4"/>
        <v>23.870967741935488</v>
      </c>
    </row>
    <row r="19" spans="1:25" x14ac:dyDescent="0.35">
      <c r="A19" s="111"/>
      <c r="B19" s="58">
        <v>1000</v>
      </c>
      <c r="C19" s="60">
        <v>0.27</v>
      </c>
      <c r="D19" s="60">
        <v>0.33</v>
      </c>
      <c r="E19" s="60">
        <v>0.41</v>
      </c>
      <c r="F19" s="65">
        <f t="shared" si="0"/>
        <v>0.33</v>
      </c>
      <c r="G19" s="65">
        <f t="shared" si="0"/>
        <v>0.41</v>
      </c>
      <c r="H19" s="65">
        <f t="shared" si="0"/>
        <v>0.48000000000000004</v>
      </c>
      <c r="I19" s="60">
        <f t="shared" si="2"/>
        <v>22.222222222222221</v>
      </c>
      <c r="J19" s="60">
        <f t="shared" si="3"/>
        <v>24.242424242424232</v>
      </c>
      <c r="K19" s="60">
        <f t="shared" si="4"/>
        <v>17.073170731707332</v>
      </c>
    </row>
    <row r="20" spans="1:25" x14ac:dyDescent="0.35">
      <c r="A20" s="111"/>
      <c r="B20" s="58">
        <v>1200</v>
      </c>
      <c r="C20" s="60">
        <v>0.36</v>
      </c>
      <c r="D20" s="60">
        <v>0.44</v>
      </c>
      <c r="E20" s="60">
        <v>0.52</v>
      </c>
      <c r="F20" s="65">
        <f t="shared" si="0"/>
        <v>0.39600000000000002</v>
      </c>
      <c r="G20" s="65">
        <f t="shared" si="0"/>
        <v>0.49199999999999999</v>
      </c>
      <c r="H20" s="65">
        <f t="shared" si="0"/>
        <v>0.57600000000000007</v>
      </c>
      <c r="I20" s="60">
        <f t="shared" si="2"/>
        <v>10.000000000000009</v>
      </c>
      <c r="J20" s="60">
        <f t="shared" si="3"/>
        <v>11.818181818181817</v>
      </c>
      <c r="K20" s="60">
        <f t="shared" si="4"/>
        <v>10.769230769230779</v>
      </c>
    </row>
    <row r="21" spans="1:25" x14ac:dyDescent="0.35">
      <c r="A21" s="111"/>
      <c r="B21" s="58">
        <v>1400</v>
      </c>
      <c r="C21" s="60">
        <v>0.47</v>
      </c>
      <c r="D21" s="60">
        <v>0.56000000000000005</v>
      </c>
      <c r="E21" s="60">
        <v>0.65</v>
      </c>
      <c r="F21" s="65">
        <f t="shared" si="0"/>
        <v>0.46200000000000002</v>
      </c>
      <c r="G21" s="65">
        <f t="shared" si="0"/>
        <v>0.57399999999999995</v>
      </c>
      <c r="H21" s="65">
        <f t="shared" si="0"/>
        <v>0.67200000000000004</v>
      </c>
      <c r="I21" s="60">
        <f t="shared" si="2"/>
        <v>-1.7021276595744579</v>
      </c>
      <c r="J21" s="60">
        <f t="shared" si="3"/>
        <v>2.4999999999999822</v>
      </c>
      <c r="K21" s="60">
        <f t="shared" si="4"/>
        <v>3.3846153846153877</v>
      </c>
    </row>
    <row r="22" spans="1:25" x14ac:dyDescent="0.35">
      <c r="A22" s="111"/>
      <c r="B22" s="58">
        <v>1600</v>
      </c>
      <c r="C22" s="60">
        <v>0.57999999999999996</v>
      </c>
      <c r="D22" s="60">
        <v>0.67</v>
      </c>
      <c r="E22" s="60">
        <v>0.79</v>
      </c>
      <c r="F22" s="65">
        <f t="shared" si="0"/>
        <v>0.52800000000000002</v>
      </c>
      <c r="G22" s="65">
        <f t="shared" si="0"/>
        <v>0.65600000000000003</v>
      </c>
      <c r="H22" s="65">
        <f t="shared" si="0"/>
        <v>0.76800000000000002</v>
      </c>
      <c r="I22" s="60">
        <f t="shared" si="2"/>
        <v>-8.9655172413793007</v>
      </c>
      <c r="J22" s="60">
        <f t="shared" si="3"/>
        <v>-2.0895522388059717</v>
      </c>
      <c r="K22" s="60">
        <f t="shared" si="4"/>
        <v>-2.7848101265822809</v>
      </c>
    </row>
    <row r="23" spans="1:25" x14ac:dyDescent="0.35">
      <c r="A23" s="111"/>
      <c r="B23" s="58">
        <v>800</v>
      </c>
      <c r="C23" s="60">
        <v>0.23</v>
      </c>
      <c r="D23" s="60">
        <v>0.28999999999999998</v>
      </c>
      <c r="E23" s="60">
        <v>0.35</v>
      </c>
      <c r="F23" s="65">
        <f t="shared" si="0"/>
        <v>0.26400000000000001</v>
      </c>
      <c r="G23" s="65">
        <f t="shared" si="0"/>
        <v>0.32800000000000001</v>
      </c>
      <c r="H23" s="65">
        <f t="shared" si="0"/>
        <v>0.38400000000000001</v>
      </c>
      <c r="I23" s="60">
        <f t="shared" si="2"/>
        <v>14.782608695652176</v>
      </c>
      <c r="J23" s="60">
        <f t="shared" si="3"/>
        <v>13.103448275862082</v>
      </c>
      <c r="K23" s="60">
        <f t="shared" si="4"/>
        <v>9.7142857142857242</v>
      </c>
    </row>
    <row r="24" spans="1:25" x14ac:dyDescent="0.35">
      <c r="A24" s="111"/>
      <c r="B24" s="58">
        <v>1000</v>
      </c>
      <c r="C24" s="60">
        <v>0.33</v>
      </c>
      <c r="D24" s="60">
        <v>0.41</v>
      </c>
      <c r="E24" s="60">
        <v>0.47</v>
      </c>
      <c r="F24" s="65">
        <f t="shared" si="0"/>
        <v>0.33</v>
      </c>
      <c r="G24" s="65">
        <f t="shared" si="0"/>
        <v>0.41</v>
      </c>
      <c r="H24" s="65">
        <f t="shared" si="0"/>
        <v>0.48000000000000004</v>
      </c>
      <c r="I24" s="60">
        <f t="shared" si="2"/>
        <v>0</v>
      </c>
      <c r="J24" s="60">
        <f t="shared" si="3"/>
        <v>0</v>
      </c>
      <c r="K24" s="60">
        <f t="shared" si="4"/>
        <v>2.1276595744680988</v>
      </c>
    </row>
    <row r="25" spans="1:25" x14ac:dyDescent="0.35">
      <c r="A25" s="111"/>
      <c r="B25" s="58">
        <v>1200</v>
      </c>
      <c r="C25" s="60">
        <v>0.41</v>
      </c>
      <c r="D25" s="60">
        <v>0.52</v>
      </c>
      <c r="E25" s="60">
        <v>0.57999999999999996</v>
      </c>
      <c r="F25" s="65">
        <f t="shared" si="0"/>
        <v>0.39600000000000002</v>
      </c>
      <c r="G25" s="65">
        <f t="shared" si="0"/>
        <v>0.49199999999999999</v>
      </c>
      <c r="H25" s="65">
        <f t="shared" si="0"/>
        <v>0.57600000000000007</v>
      </c>
      <c r="I25" s="60">
        <f t="shared" si="2"/>
        <v>-3.4146341463414531</v>
      </c>
      <c r="J25" s="60">
        <f t="shared" si="3"/>
        <v>-5.3846153846153895</v>
      </c>
      <c r="K25" s="60">
        <f t="shared" si="4"/>
        <v>-0.68965517241377461</v>
      </c>
    </row>
    <row r="26" spans="1:25" x14ac:dyDescent="0.35">
      <c r="A26" s="111"/>
      <c r="B26" s="58">
        <v>800</v>
      </c>
      <c r="C26" s="60">
        <v>0.22</v>
      </c>
      <c r="D26" s="60">
        <v>0.28999999999999998</v>
      </c>
      <c r="E26" s="60">
        <v>0.35</v>
      </c>
      <c r="F26" s="65">
        <f t="shared" si="0"/>
        <v>0.26400000000000001</v>
      </c>
      <c r="G26" s="65">
        <f t="shared" si="0"/>
        <v>0.32800000000000001</v>
      </c>
      <c r="H26" s="65">
        <f t="shared" si="0"/>
        <v>0.38400000000000001</v>
      </c>
      <c r="I26" s="60">
        <f t="shared" si="2"/>
        <v>20.000000000000007</v>
      </c>
      <c r="J26" s="60">
        <f t="shared" si="3"/>
        <v>13.103448275862082</v>
      </c>
      <c r="K26" s="60">
        <f t="shared" si="4"/>
        <v>9.7142857142857242</v>
      </c>
      <c r="Y26" s="15">
        <f>_xlfn.NORM.S.INV(0.95)</f>
        <v>1.6448536269514715</v>
      </c>
    </row>
    <row r="27" spans="1:25" x14ac:dyDescent="0.35">
      <c r="A27" s="111"/>
      <c r="B27" s="58">
        <v>1000</v>
      </c>
      <c r="C27" s="60">
        <v>0.28000000000000003</v>
      </c>
      <c r="D27" s="60">
        <v>0.35</v>
      </c>
      <c r="E27" s="60">
        <v>0.41</v>
      </c>
      <c r="F27" s="65">
        <f t="shared" si="0"/>
        <v>0.33</v>
      </c>
      <c r="G27" s="65">
        <f t="shared" si="0"/>
        <v>0.41</v>
      </c>
      <c r="H27" s="65">
        <f t="shared" si="0"/>
        <v>0.48000000000000004</v>
      </c>
      <c r="I27" s="60">
        <f t="shared" si="2"/>
        <v>17.857142857142851</v>
      </c>
      <c r="J27" s="60">
        <f t="shared" si="3"/>
        <v>17.142857142857142</v>
      </c>
      <c r="K27" s="60">
        <f t="shared" si="4"/>
        <v>17.073170731707332</v>
      </c>
    </row>
    <row r="28" spans="1:25" x14ac:dyDescent="0.35">
      <c r="A28" s="111" t="s">
        <v>73</v>
      </c>
      <c r="B28" s="58">
        <v>1000</v>
      </c>
      <c r="C28" s="60">
        <v>0.23</v>
      </c>
      <c r="D28" s="60">
        <v>0.31</v>
      </c>
      <c r="E28" s="60">
        <v>0.37</v>
      </c>
      <c r="F28" s="65">
        <f t="shared" si="0"/>
        <v>0.33</v>
      </c>
      <c r="G28" s="65">
        <f t="shared" si="0"/>
        <v>0.41</v>
      </c>
      <c r="H28" s="65">
        <f t="shared" si="0"/>
        <v>0.48000000000000004</v>
      </c>
      <c r="I28" s="60">
        <f t="shared" si="2"/>
        <v>43.478260869565219</v>
      </c>
      <c r="J28" s="60">
        <f t="shared" si="3"/>
        <v>32.258064516129025</v>
      </c>
      <c r="K28" s="60">
        <f t="shared" si="4"/>
        <v>29.72972972972974</v>
      </c>
    </row>
    <row r="29" spans="1:25" x14ac:dyDescent="0.35">
      <c r="A29" s="111"/>
      <c r="B29" s="58">
        <v>1200</v>
      </c>
      <c r="C29" s="60">
        <v>0.28999999999999998</v>
      </c>
      <c r="D29" s="60">
        <v>0.37</v>
      </c>
      <c r="E29" s="60">
        <v>0.44</v>
      </c>
      <c r="F29" s="65">
        <f t="shared" si="0"/>
        <v>0.39600000000000002</v>
      </c>
      <c r="G29" s="65">
        <f t="shared" si="0"/>
        <v>0.49199999999999999</v>
      </c>
      <c r="H29" s="65">
        <f t="shared" si="0"/>
        <v>0.57600000000000007</v>
      </c>
      <c r="I29" s="60">
        <f t="shared" si="2"/>
        <v>36.551724137931046</v>
      </c>
      <c r="J29" s="60">
        <f t="shared" si="3"/>
        <v>32.972972972972968</v>
      </c>
      <c r="K29" s="60">
        <f t="shared" si="4"/>
        <v>30.909090909090924</v>
      </c>
    </row>
    <row r="30" spans="1:25" x14ac:dyDescent="0.35">
      <c r="A30" s="111"/>
      <c r="B30" s="58">
        <v>1400</v>
      </c>
      <c r="C30" s="60">
        <v>0.35</v>
      </c>
      <c r="D30" s="60">
        <v>0.44</v>
      </c>
      <c r="E30" s="60">
        <v>0.52</v>
      </c>
      <c r="F30" s="65">
        <f t="shared" si="0"/>
        <v>0.46200000000000002</v>
      </c>
      <c r="G30" s="65">
        <f t="shared" si="0"/>
        <v>0.57399999999999995</v>
      </c>
      <c r="H30" s="65">
        <f t="shared" si="0"/>
        <v>0.67200000000000004</v>
      </c>
      <c r="I30" s="60">
        <f t="shared" si="2"/>
        <v>32.000000000000014</v>
      </c>
      <c r="J30" s="60">
        <f t="shared" si="3"/>
        <v>30.454545454545443</v>
      </c>
      <c r="K30" s="60">
        <f t="shared" si="4"/>
        <v>29.230769230769234</v>
      </c>
    </row>
    <row r="31" spans="1:25" x14ac:dyDescent="0.35">
      <c r="A31" s="111"/>
      <c r="B31" s="58">
        <v>1600</v>
      </c>
      <c r="C31" s="60">
        <v>0.41</v>
      </c>
      <c r="D31" s="60">
        <v>0.52</v>
      </c>
      <c r="E31" s="60">
        <v>0.63</v>
      </c>
      <c r="F31" s="65">
        <f t="shared" si="0"/>
        <v>0.52800000000000002</v>
      </c>
      <c r="G31" s="65">
        <f t="shared" si="0"/>
        <v>0.65600000000000003</v>
      </c>
      <c r="H31" s="65">
        <f t="shared" si="0"/>
        <v>0.76800000000000002</v>
      </c>
      <c r="I31" s="60">
        <f t="shared" si="2"/>
        <v>28.78048780487806</v>
      </c>
      <c r="J31" s="60">
        <f t="shared" si="3"/>
        <v>26.153846153846157</v>
      </c>
      <c r="K31" s="60">
        <f t="shared" si="4"/>
        <v>21.904761904761905</v>
      </c>
    </row>
    <row r="32" spans="1:25" x14ac:dyDescent="0.35">
      <c r="A32" s="111"/>
      <c r="B32" s="58">
        <v>1200</v>
      </c>
      <c r="C32" s="60">
        <v>0.35</v>
      </c>
      <c r="D32" s="60">
        <v>0.47</v>
      </c>
      <c r="E32" s="60">
        <v>0.52</v>
      </c>
      <c r="F32" s="65">
        <f t="shared" si="0"/>
        <v>0.39600000000000002</v>
      </c>
      <c r="G32" s="65">
        <f t="shared" si="0"/>
        <v>0.49199999999999999</v>
      </c>
      <c r="H32" s="65">
        <f t="shared" si="0"/>
        <v>0.57600000000000007</v>
      </c>
      <c r="I32" s="60">
        <f t="shared" si="2"/>
        <v>13.142857142857155</v>
      </c>
      <c r="J32" s="60">
        <f t="shared" si="3"/>
        <v>4.6808510638297918</v>
      </c>
      <c r="K32" s="60">
        <f t="shared" si="4"/>
        <v>10.769230769230779</v>
      </c>
    </row>
    <row r="33" spans="1:11" x14ac:dyDescent="0.35">
      <c r="A33" s="111"/>
      <c r="B33" s="58">
        <v>1400</v>
      </c>
      <c r="C33" s="60">
        <v>0.41</v>
      </c>
      <c r="D33" s="60">
        <v>0.52</v>
      </c>
      <c r="E33" s="60">
        <v>0.57999999999999996</v>
      </c>
      <c r="F33" s="65">
        <f t="shared" si="0"/>
        <v>0.46200000000000002</v>
      </c>
      <c r="G33" s="65">
        <f t="shared" si="0"/>
        <v>0.57399999999999995</v>
      </c>
      <c r="H33" s="65">
        <f t="shared" si="0"/>
        <v>0.67200000000000004</v>
      </c>
      <c r="I33" s="60">
        <f t="shared" si="2"/>
        <v>12.682926829268304</v>
      </c>
      <c r="J33" s="60">
        <f t="shared" si="3"/>
        <v>10.384615384615371</v>
      </c>
      <c r="K33" s="60">
        <f t="shared" si="4"/>
        <v>15.862068965517256</v>
      </c>
    </row>
    <row r="34" spans="1:11" x14ac:dyDescent="0.35">
      <c r="A34" s="111"/>
      <c r="B34" s="58">
        <v>1600</v>
      </c>
      <c r="C34" s="60">
        <v>0.47</v>
      </c>
      <c r="D34" s="60">
        <v>0.57999999999999996</v>
      </c>
      <c r="E34" s="60">
        <v>0.64</v>
      </c>
      <c r="F34" s="65">
        <f t="shared" si="0"/>
        <v>0.52800000000000002</v>
      </c>
      <c r="G34" s="65">
        <f t="shared" si="0"/>
        <v>0.65600000000000003</v>
      </c>
      <c r="H34" s="65">
        <f t="shared" si="0"/>
        <v>0.76800000000000002</v>
      </c>
      <c r="I34" s="60">
        <f t="shared" si="2"/>
        <v>12.340425531914905</v>
      </c>
      <c r="J34" s="60">
        <f t="shared" si="3"/>
        <v>13.103448275862082</v>
      </c>
      <c r="K34" s="60">
        <f t="shared" si="4"/>
        <v>20</v>
      </c>
    </row>
    <row r="35" spans="1:11" x14ac:dyDescent="0.35">
      <c r="C35" s="112" t="s">
        <v>83</v>
      </c>
      <c r="D35" s="112"/>
      <c r="E35" s="112"/>
    </row>
    <row r="36" spans="1:11" x14ac:dyDescent="0.35">
      <c r="A36" s="64"/>
      <c r="C36" s="47">
        <f>CORREL($B$5:$B$34,C5:C34)</f>
        <v>0.95751403331048324</v>
      </c>
      <c r="D36" s="47">
        <f>CORREL($B$5:$B$34,D5:D34)</f>
        <v>0.96633158803296637</v>
      </c>
      <c r="E36" s="47">
        <f>CORREL($B$5:$B$34,E5:E34)</f>
        <v>0.97085072197087929</v>
      </c>
      <c r="H36" s="32"/>
      <c r="I36" s="32"/>
    </row>
    <row r="37" spans="1:11" x14ac:dyDescent="0.35">
      <c r="C37" s="112" t="s">
        <v>81</v>
      </c>
      <c r="D37" s="112"/>
      <c r="E37" s="112"/>
      <c r="F37" s="112" t="s">
        <v>82</v>
      </c>
      <c r="G37" s="112"/>
      <c r="H37" s="112"/>
    </row>
    <row r="38" spans="1:11" x14ac:dyDescent="0.35">
      <c r="B38" s="53" t="s">
        <v>13</v>
      </c>
      <c r="C38" s="66">
        <f>INTERCEPT(C5:C34,$B$5:$B$34)</f>
        <v>-3.0861455108359026E-2</v>
      </c>
      <c r="D38" s="66">
        <f>INTERCEPT(D5:D34,$B$5:$B$34)</f>
        <v>-3.6321517027863626E-2</v>
      </c>
      <c r="E38" s="66">
        <f>INTERCEPT(E5:E34,$B$5:$B$34)</f>
        <v>-3.5408978328173357E-2</v>
      </c>
      <c r="F38" s="33">
        <v>0</v>
      </c>
      <c r="G38" s="33">
        <v>0</v>
      </c>
      <c r="H38" s="33">
        <v>0</v>
      </c>
    </row>
    <row r="39" spans="1:11" x14ac:dyDescent="0.35">
      <c r="B39" s="63" t="s">
        <v>80</v>
      </c>
      <c r="C39" s="66">
        <f>SLOPE(C5:C34,$B$5:$B$34)</f>
        <v>3.1830495356037145E-4</v>
      </c>
      <c r="D39" s="66">
        <f>SLOPE(D5:D34,$B$5:$B$34)</f>
        <v>3.9684984520123827E-4</v>
      </c>
      <c r="E39" s="66">
        <f>SLOPE(E5:E34,$B$5:$B$34)</f>
        <v>4.5400928792569659E-4</v>
      </c>
      <c r="F39" s="66">
        <v>3.3E-4</v>
      </c>
      <c r="G39" s="66">
        <v>4.0999999999999999E-4</v>
      </c>
      <c r="H39" s="66">
        <v>4.8000000000000001E-4</v>
      </c>
      <c r="I39" s="35"/>
    </row>
    <row r="40" spans="1:11" ht="15.5" x14ac:dyDescent="0.35">
      <c r="A40" s="59" t="s">
        <v>76</v>
      </c>
    </row>
    <row r="41" spans="1:11" x14ac:dyDescent="0.35">
      <c r="A41" s="33" t="s">
        <v>3</v>
      </c>
      <c r="B41" s="48">
        <f t="shared" ref="B41:K41" si="5">MIN(B$5:B$34)</f>
        <v>200</v>
      </c>
      <c r="C41" s="67">
        <f t="shared" si="5"/>
        <v>6.5000000000000002E-2</v>
      </c>
      <c r="D41" s="67">
        <f t="shared" si="5"/>
        <v>6.9000000000000006E-2</v>
      </c>
      <c r="E41" s="67">
        <f t="shared" si="5"/>
        <v>7.3999999999999996E-2</v>
      </c>
      <c r="F41" s="67">
        <f t="shared" si="5"/>
        <v>6.6000000000000003E-2</v>
      </c>
      <c r="G41" s="67">
        <f t="shared" si="5"/>
        <v>8.2000000000000003E-2</v>
      </c>
      <c r="H41" s="67">
        <f t="shared" si="5"/>
        <v>9.6000000000000002E-2</v>
      </c>
      <c r="I41" s="67">
        <f t="shared" si="5"/>
        <v>-8.9655172413793007</v>
      </c>
      <c r="J41" s="67">
        <f t="shared" si="5"/>
        <v>-5.3846153846153895</v>
      </c>
      <c r="K41" s="67">
        <f t="shared" si="5"/>
        <v>-2.7848101265822809</v>
      </c>
    </row>
    <row r="42" spans="1:11" x14ac:dyDescent="0.35">
      <c r="A42" s="33" t="s">
        <v>4</v>
      </c>
      <c r="B42" s="48">
        <f t="shared" ref="B42:K42" si="6">MAX(B$5:B$34)</f>
        <v>1600</v>
      </c>
      <c r="C42" s="67">
        <f t="shared" si="6"/>
        <v>0.57999999999999996</v>
      </c>
      <c r="D42" s="67">
        <f t="shared" si="6"/>
        <v>0.67</v>
      </c>
      <c r="E42" s="67">
        <f t="shared" si="6"/>
        <v>0.79</v>
      </c>
      <c r="F42" s="67">
        <f t="shared" si="6"/>
        <v>0.52800000000000002</v>
      </c>
      <c r="G42" s="67">
        <f t="shared" si="6"/>
        <v>0.65600000000000003</v>
      </c>
      <c r="H42" s="67">
        <f t="shared" si="6"/>
        <v>0.76800000000000002</v>
      </c>
      <c r="I42" s="67">
        <f t="shared" si="6"/>
        <v>52.307692307692314</v>
      </c>
      <c r="J42" s="67">
        <f t="shared" si="6"/>
        <v>53.75</v>
      </c>
      <c r="K42" s="67">
        <f t="shared" si="6"/>
        <v>60.000000000000028</v>
      </c>
    </row>
    <row r="43" spans="1:11" x14ac:dyDescent="0.35">
      <c r="A43" s="33" t="s">
        <v>5</v>
      </c>
      <c r="B43" s="48">
        <f t="shared" ref="B43:K43" si="7">AVERAGE(B$5:B$34)</f>
        <v>966.66666666666663</v>
      </c>
      <c r="C43" s="67">
        <f t="shared" si="7"/>
        <v>0.27683333333333338</v>
      </c>
      <c r="D43" s="67">
        <f t="shared" si="7"/>
        <v>0.3473</v>
      </c>
      <c r="E43" s="67">
        <f t="shared" si="7"/>
        <v>0.40346666666666664</v>
      </c>
      <c r="F43" s="67">
        <f t="shared" si="7"/>
        <v>0.31900000000000006</v>
      </c>
      <c r="G43" s="67">
        <f t="shared" si="7"/>
        <v>0.39633333333333337</v>
      </c>
      <c r="H43" s="67">
        <f t="shared" si="7"/>
        <v>0.46400000000000025</v>
      </c>
      <c r="I43" s="67">
        <f t="shared" si="7"/>
        <v>18.891330471858552</v>
      </c>
      <c r="J43" s="67">
        <f t="shared" si="7"/>
        <v>18.704079300378957</v>
      </c>
      <c r="K43" s="67">
        <f t="shared" si="7"/>
        <v>19.499656829263223</v>
      </c>
    </row>
    <row r="44" spans="1:11" x14ac:dyDescent="0.35">
      <c r="A44" s="33" t="s">
        <v>7</v>
      </c>
      <c r="B44" s="48">
        <f t="shared" ref="B44:K44" si="8">_xlfn.STDEV.S(B$5:B$34)</f>
        <v>385.36443417424607</v>
      </c>
      <c r="C44" s="67">
        <f t="shared" si="8"/>
        <v>0.12810612070045488</v>
      </c>
      <c r="D44" s="67">
        <f t="shared" si="8"/>
        <v>0.15826018516006016</v>
      </c>
      <c r="E44" s="67">
        <f t="shared" si="8"/>
        <v>0.18021208450683562</v>
      </c>
      <c r="F44" s="67">
        <f t="shared" si="8"/>
        <v>0.12717026327750114</v>
      </c>
      <c r="G44" s="67">
        <f t="shared" si="8"/>
        <v>0.15799941801144082</v>
      </c>
      <c r="H44" s="67">
        <f t="shared" si="8"/>
        <v>0.18497492840363761</v>
      </c>
      <c r="I44" s="67">
        <f t="shared" si="8"/>
        <v>14.435374564883718</v>
      </c>
      <c r="J44" s="67">
        <f t="shared" si="8"/>
        <v>15.128254707333369</v>
      </c>
      <c r="K44" s="67">
        <f t="shared" si="8"/>
        <v>15.804816342652112</v>
      </c>
    </row>
    <row r="45" spans="1:11" x14ac:dyDescent="0.35">
      <c r="A45" s="33" t="s">
        <v>9</v>
      </c>
      <c r="B45" s="67">
        <f t="shared" ref="B45:E45" si="9">B44/B43</f>
        <v>0.39865286293887525</v>
      </c>
      <c r="C45" s="67">
        <f t="shared" si="9"/>
        <v>0.46275540289146849</v>
      </c>
      <c r="D45" s="67">
        <f t="shared" si="9"/>
        <v>0.45568725931488674</v>
      </c>
      <c r="E45" s="67">
        <f t="shared" si="9"/>
        <v>0.44665916516895809</v>
      </c>
      <c r="F45" s="67">
        <f t="shared" ref="F45" si="10">F44/F43</f>
        <v>0.39865286293887497</v>
      </c>
      <c r="G45" s="67">
        <f t="shared" ref="G45" si="11">G44/G43</f>
        <v>0.39865286293887503</v>
      </c>
      <c r="H45" s="67">
        <f t="shared" ref="H45" si="12">H44/H43</f>
        <v>0.39865286293887392</v>
      </c>
      <c r="I45" s="67">
        <f t="shared" ref="I45" si="13">I44/I43</f>
        <v>0.76412694100012468</v>
      </c>
      <c r="J45" s="67">
        <f t="shared" ref="J45" si="14">J44/J43</f>
        <v>0.80882113812610168</v>
      </c>
      <c r="K45" s="67">
        <f t="shared" ref="K45" si="15">K44/K43</f>
        <v>0.81051766608188469</v>
      </c>
    </row>
    <row r="46" spans="1:11" x14ac:dyDescent="0.35">
      <c r="B46" s="21"/>
      <c r="C46" s="17"/>
      <c r="D46" s="17"/>
      <c r="E46" s="17"/>
      <c r="F46" s="17"/>
      <c r="G46" s="17"/>
      <c r="H46" s="67"/>
      <c r="I46" s="112" t="s">
        <v>84</v>
      </c>
      <c r="J46" s="112"/>
      <c r="K46" s="112"/>
    </row>
    <row r="47" spans="1:11" x14ac:dyDescent="0.35">
      <c r="B47" s="21"/>
      <c r="C47" s="17"/>
      <c r="D47" s="17"/>
      <c r="E47" s="17"/>
      <c r="F47" s="17"/>
      <c r="G47" s="17"/>
      <c r="H47" s="33" t="s">
        <v>77</v>
      </c>
      <c r="I47" s="67">
        <f>I43-1.64*I44</f>
        <v>-4.7826838145507438</v>
      </c>
      <c r="J47" s="67">
        <f>J43-1.64*J44</f>
        <v>-6.1062584196477658</v>
      </c>
      <c r="K47" s="67">
        <f>K43-1.64*K44</f>
        <v>-6.4202419726862381</v>
      </c>
    </row>
    <row r="48" spans="1:11" x14ac:dyDescent="0.35">
      <c r="H48" s="33" t="s">
        <v>78</v>
      </c>
      <c r="I48" s="67">
        <f>I43+1.64*I44</f>
        <v>42.565344758267848</v>
      </c>
      <c r="J48" s="67">
        <f>J43+1.64*J44</f>
        <v>43.514417020405681</v>
      </c>
      <c r="K48" s="67">
        <f>K43+1.64*K44</f>
        <v>45.419555631212688</v>
      </c>
    </row>
  </sheetData>
  <mergeCells count="12">
    <mergeCell ref="C35:E35"/>
    <mergeCell ref="C37:E37"/>
    <mergeCell ref="F37:H37"/>
    <mergeCell ref="I46:K46"/>
    <mergeCell ref="A28:A34"/>
    <mergeCell ref="A5:A15"/>
    <mergeCell ref="A16:A27"/>
    <mergeCell ref="F3:H3"/>
    <mergeCell ref="I3:K3"/>
    <mergeCell ref="A3:A4"/>
    <mergeCell ref="B3:B4"/>
    <mergeCell ref="C3:E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57"/>
  <sheetViews>
    <sheetView zoomScale="40" zoomScaleNormal="40" workbookViewId="0">
      <selection activeCell="L59" sqref="L59"/>
    </sheetView>
  </sheetViews>
  <sheetFormatPr defaultColWidth="8.8984375" defaultRowHeight="14.5" x14ac:dyDescent="0.35"/>
  <cols>
    <col min="1" max="2" width="8" style="69" customWidth="1"/>
    <col min="3" max="4" width="10" style="69" customWidth="1"/>
    <col min="5" max="5" width="11.09765625" style="69" customWidth="1"/>
    <col min="6" max="6" width="9.8984375" style="69" bestFit="1" customWidth="1"/>
    <col min="7" max="7" width="8.8984375" style="69" bestFit="1" customWidth="1"/>
    <col min="8" max="8" width="9.3984375" style="69" bestFit="1" customWidth="1"/>
    <col min="9" max="18" width="8.8984375" style="69"/>
    <col min="19" max="19" width="8.8984375" style="69" customWidth="1"/>
    <col min="20" max="16384" width="8.8984375" style="69"/>
  </cols>
  <sheetData>
    <row r="1" spans="1:8" x14ac:dyDescent="0.35">
      <c r="A1" s="68" t="s">
        <v>86</v>
      </c>
    </row>
    <row r="3" spans="1:8" x14ac:dyDescent="0.35">
      <c r="A3" s="113" t="s">
        <v>72</v>
      </c>
      <c r="B3" s="113" t="s">
        <v>90</v>
      </c>
      <c r="C3" s="113" t="s">
        <v>85</v>
      </c>
      <c r="D3" s="113" t="s">
        <v>89</v>
      </c>
      <c r="E3" s="117" t="s">
        <v>93</v>
      </c>
      <c r="F3" s="117"/>
      <c r="G3" s="118" t="s">
        <v>94</v>
      </c>
      <c r="H3" s="119"/>
    </row>
    <row r="4" spans="1:8" x14ac:dyDescent="0.35">
      <c r="A4" s="114"/>
      <c r="B4" s="114"/>
      <c r="C4" s="114"/>
      <c r="D4" s="114"/>
      <c r="E4" s="79" t="s">
        <v>95</v>
      </c>
      <c r="F4" s="80" t="s">
        <v>96</v>
      </c>
      <c r="G4" s="79" t="s">
        <v>95</v>
      </c>
      <c r="H4" s="80" t="s">
        <v>96</v>
      </c>
    </row>
    <row r="5" spans="1:8" x14ac:dyDescent="0.35">
      <c r="A5" s="72"/>
      <c r="B5" s="72"/>
      <c r="C5" s="72">
        <v>0</v>
      </c>
      <c r="D5" s="72"/>
      <c r="E5" s="78">
        <f t="shared" ref="E5:E7" si="0">$E$49*C5^2+$E$50*C5</f>
        <v>0</v>
      </c>
      <c r="F5" s="80"/>
      <c r="G5" s="78">
        <f t="shared" ref="G5:G7" si="1">$G$49*EXP($G$50*C5)</f>
        <v>0.13</v>
      </c>
      <c r="H5" s="80"/>
    </row>
    <row r="6" spans="1:8" x14ac:dyDescent="0.35">
      <c r="A6" s="72"/>
      <c r="B6" s="72"/>
      <c r="C6" s="72">
        <v>100</v>
      </c>
      <c r="D6" s="72"/>
      <c r="E6" s="78">
        <f t="shared" si="0"/>
        <v>-3.9999999999999987E-2</v>
      </c>
      <c r="F6" s="80"/>
      <c r="G6" s="78">
        <f t="shared" si="1"/>
        <v>0.17902660936367443</v>
      </c>
      <c r="H6" s="80"/>
    </row>
    <row r="7" spans="1:8" x14ac:dyDescent="0.35">
      <c r="A7" s="72"/>
      <c r="B7" s="72"/>
      <c r="C7" s="72">
        <v>200</v>
      </c>
      <c r="D7" s="72"/>
      <c r="E7" s="78">
        <f t="shared" si="0"/>
        <v>0</v>
      </c>
      <c r="F7" s="80"/>
      <c r="G7" s="78">
        <f t="shared" si="1"/>
        <v>0.24654251430964369</v>
      </c>
      <c r="H7" s="80"/>
    </row>
    <row r="8" spans="1:8" x14ac:dyDescent="0.35">
      <c r="A8" s="116" t="s">
        <v>91</v>
      </c>
      <c r="B8" s="116" t="s">
        <v>87</v>
      </c>
      <c r="C8" s="70">
        <v>300</v>
      </c>
      <c r="D8" s="75">
        <v>0.45</v>
      </c>
      <c r="E8" s="78">
        <f>$E$49*C8^2+$E$50*C8</f>
        <v>0.12</v>
      </c>
      <c r="F8" s="78">
        <f>100*(D8-E8)/D8</f>
        <v>73.333333333333329</v>
      </c>
      <c r="G8" s="78">
        <f>$G$49*EXP($G$50*C8)</f>
        <v>0.33952054154500533</v>
      </c>
      <c r="H8" s="78">
        <f>100*(D8-G8)/D8</f>
        <v>24.550990767776597</v>
      </c>
    </row>
    <row r="9" spans="1:8" x14ac:dyDescent="0.35">
      <c r="A9" s="116"/>
      <c r="B9" s="116"/>
      <c r="C9" s="70">
        <v>400</v>
      </c>
      <c r="D9" s="75">
        <v>0.63</v>
      </c>
      <c r="E9" s="78">
        <f t="shared" ref="E9:E47" si="2">$E$49*C9^2+$E$50*C9</f>
        <v>0.32000000000000006</v>
      </c>
      <c r="F9" s="78">
        <f t="shared" ref="F9:F47" si="3">100*(D9-E9)/D9</f>
        <v>49.206349206349195</v>
      </c>
      <c r="G9" s="78">
        <f t="shared" ref="G9:G47" si="4">$G$49*EXP($G$50*C9)</f>
        <v>0.46756316432400663</v>
      </c>
      <c r="H9" s="78">
        <f t="shared" ref="H9:H47" si="5">100*(D9-G9)/D9</f>
        <v>25.783624710475138</v>
      </c>
    </row>
    <row r="10" spans="1:8" x14ac:dyDescent="0.35">
      <c r="A10" s="116"/>
      <c r="B10" s="116"/>
      <c r="C10" s="70">
        <v>500</v>
      </c>
      <c r="D10" s="75">
        <v>0.95</v>
      </c>
      <c r="E10" s="78">
        <f t="shared" si="2"/>
        <v>0.60000000000000009</v>
      </c>
      <c r="F10" s="78">
        <f t="shared" si="3"/>
        <v>36.842105263157883</v>
      </c>
      <c r="G10" s="78">
        <f t="shared" si="4"/>
        <v>0.64389421517136491</v>
      </c>
      <c r="H10" s="78">
        <f t="shared" si="5"/>
        <v>32.221661560908949</v>
      </c>
    </row>
    <row r="11" spans="1:8" x14ac:dyDescent="0.35">
      <c r="A11" s="116"/>
      <c r="B11" s="116"/>
      <c r="C11" s="70">
        <v>600</v>
      </c>
      <c r="D11" s="75">
        <v>1.3</v>
      </c>
      <c r="E11" s="78">
        <f t="shared" si="2"/>
        <v>0.96</v>
      </c>
      <c r="F11" s="78">
        <f t="shared" si="3"/>
        <v>26.153846153846157</v>
      </c>
      <c r="G11" s="78">
        <f t="shared" si="4"/>
        <v>0.88672460100779771</v>
      </c>
      <c r="H11" s="78">
        <f t="shared" si="5"/>
        <v>31.790415307092488</v>
      </c>
    </row>
    <row r="12" spans="1:8" x14ac:dyDescent="0.35">
      <c r="A12" s="116"/>
      <c r="B12" s="116"/>
      <c r="C12" s="70">
        <v>700</v>
      </c>
      <c r="D12" s="75">
        <v>1.6</v>
      </c>
      <c r="E12" s="78">
        <f t="shared" si="2"/>
        <v>1.4</v>
      </c>
      <c r="F12" s="78">
        <f t="shared" si="3"/>
        <v>12.500000000000011</v>
      </c>
      <c r="G12" s="78">
        <f t="shared" si="4"/>
        <v>1.221133067367562</v>
      </c>
      <c r="H12" s="78">
        <f t="shared" si="5"/>
        <v>23.679183289527376</v>
      </c>
    </row>
    <row r="13" spans="1:8" x14ac:dyDescent="0.35">
      <c r="A13" s="116"/>
      <c r="B13" s="116"/>
      <c r="C13" s="70">
        <v>800</v>
      </c>
      <c r="D13" s="75">
        <v>1.6</v>
      </c>
      <c r="E13" s="78">
        <f t="shared" si="2"/>
        <v>1.9200000000000002</v>
      </c>
      <c r="F13" s="78">
        <f t="shared" si="3"/>
        <v>-20.000000000000004</v>
      </c>
      <c r="G13" s="78">
        <f t="shared" si="4"/>
        <v>1.6816562510205999</v>
      </c>
      <c r="H13" s="78">
        <f t="shared" si="5"/>
        <v>-5.1035156887874873</v>
      </c>
    </row>
    <row r="14" spans="1:8" x14ac:dyDescent="0.35">
      <c r="A14" s="116"/>
      <c r="B14" s="116"/>
      <c r="C14" s="70">
        <v>900</v>
      </c>
      <c r="D14" s="75">
        <v>3.1</v>
      </c>
      <c r="E14" s="78">
        <f t="shared" si="2"/>
        <v>2.5199999999999996</v>
      </c>
      <c r="F14" s="78">
        <f t="shared" si="3"/>
        <v>18.709677419354854</v>
      </c>
      <c r="G14" s="78">
        <f t="shared" si="4"/>
        <v>2.3158555133495868</v>
      </c>
      <c r="H14" s="78">
        <f t="shared" si="5"/>
        <v>25.294983440335908</v>
      </c>
    </row>
    <row r="15" spans="1:8" x14ac:dyDescent="0.35">
      <c r="A15" s="116"/>
      <c r="B15" s="116"/>
      <c r="C15" s="70">
        <v>1000</v>
      </c>
      <c r="D15" s="75">
        <v>4.5999999999999996</v>
      </c>
      <c r="E15" s="78">
        <f t="shared" si="2"/>
        <v>3.2</v>
      </c>
      <c r="F15" s="78">
        <f t="shared" si="3"/>
        <v>30.434782608695642</v>
      </c>
      <c r="G15" s="78">
        <f t="shared" si="4"/>
        <v>3.1892289256242159</v>
      </c>
      <c r="H15" s="78">
        <f t="shared" si="5"/>
        <v>30.668936399473562</v>
      </c>
    </row>
    <row r="16" spans="1:8" x14ac:dyDescent="0.35">
      <c r="A16" s="116"/>
      <c r="B16" s="116"/>
      <c r="C16" s="70">
        <v>1100</v>
      </c>
      <c r="D16" s="75">
        <v>6</v>
      </c>
      <c r="E16" s="78">
        <f t="shared" si="2"/>
        <v>3.96</v>
      </c>
      <c r="F16" s="78">
        <f t="shared" si="3"/>
        <v>34</v>
      </c>
      <c r="G16" s="78">
        <f t="shared" si="4"/>
        <v>4.3919757003004429</v>
      </c>
      <c r="H16" s="78">
        <f t="shared" si="5"/>
        <v>26.800404994992618</v>
      </c>
    </row>
    <row r="17" spans="1:8" x14ac:dyDescent="0.35">
      <c r="A17" s="116"/>
      <c r="B17" s="116"/>
      <c r="C17" s="71">
        <v>1200</v>
      </c>
      <c r="D17" s="76">
        <v>7</v>
      </c>
      <c r="E17" s="78">
        <f t="shared" si="2"/>
        <v>4.8</v>
      </c>
      <c r="F17" s="78">
        <f t="shared" si="3"/>
        <v>31.428571428571434</v>
      </c>
      <c r="G17" s="78">
        <f t="shared" si="4"/>
        <v>6.0483116771725989</v>
      </c>
      <c r="H17" s="78">
        <f t="shared" si="5"/>
        <v>13.595547468962874</v>
      </c>
    </row>
    <row r="18" spans="1:8" x14ac:dyDescent="0.35">
      <c r="A18" s="116"/>
      <c r="B18" s="116" t="s">
        <v>88</v>
      </c>
      <c r="C18" s="70">
        <v>300</v>
      </c>
      <c r="D18" s="75">
        <v>0.63</v>
      </c>
      <c r="E18" s="78">
        <f t="shared" si="2"/>
        <v>0.12</v>
      </c>
      <c r="F18" s="78">
        <f t="shared" si="3"/>
        <v>80.952380952380949</v>
      </c>
      <c r="G18" s="78">
        <f t="shared" si="4"/>
        <v>0.33952054154500533</v>
      </c>
      <c r="H18" s="78">
        <f t="shared" si="5"/>
        <v>46.107850548411854</v>
      </c>
    </row>
    <row r="19" spans="1:8" x14ac:dyDescent="0.35">
      <c r="A19" s="116"/>
      <c r="B19" s="116"/>
      <c r="C19" s="70">
        <v>400</v>
      </c>
      <c r="D19" s="75">
        <v>0.95</v>
      </c>
      <c r="E19" s="78">
        <f t="shared" si="2"/>
        <v>0.32000000000000006</v>
      </c>
      <c r="F19" s="78">
        <f t="shared" si="3"/>
        <v>66.315789473684205</v>
      </c>
      <c r="G19" s="78">
        <f t="shared" si="4"/>
        <v>0.46756316432400663</v>
      </c>
      <c r="H19" s="78">
        <f t="shared" si="5"/>
        <v>50.782824807999297</v>
      </c>
    </row>
    <row r="20" spans="1:8" x14ac:dyDescent="0.35">
      <c r="A20" s="116"/>
      <c r="B20" s="116"/>
      <c r="C20" s="70">
        <v>500</v>
      </c>
      <c r="D20" s="75">
        <v>1.6</v>
      </c>
      <c r="E20" s="78">
        <f t="shared" si="2"/>
        <v>0.60000000000000009</v>
      </c>
      <c r="F20" s="78">
        <f t="shared" si="3"/>
        <v>62.5</v>
      </c>
      <c r="G20" s="78">
        <f t="shared" si="4"/>
        <v>0.64389421517136491</v>
      </c>
      <c r="H20" s="78">
        <f t="shared" si="5"/>
        <v>59.756611551789696</v>
      </c>
    </row>
    <row r="21" spans="1:8" x14ac:dyDescent="0.35">
      <c r="A21" s="116"/>
      <c r="B21" s="116"/>
      <c r="C21" s="70">
        <v>600</v>
      </c>
      <c r="D21" s="75">
        <v>1.6</v>
      </c>
      <c r="E21" s="78">
        <f t="shared" si="2"/>
        <v>0.96</v>
      </c>
      <c r="F21" s="78">
        <f t="shared" si="3"/>
        <v>40.000000000000007</v>
      </c>
      <c r="G21" s="78">
        <f t="shared" si="4"/>
        <v>0.88672460100779771</v>
      </c>
      <c r="H21" s="78">
        <f t="shared" si="5"/>
        <v>44.579712437012645</v>
      </c>
    </row>
    <row r="22" spans="1:8" x14ac:dyDescent="0.35">
      <c r="A22" s="116"/>
      <c r="B22" s="116"/>
      <c r="C22" s="70">
        <v>700</v>
      </c>
      <c r="D22" s="75">
        <v>3.1</v>
      </c>
      <c r="E22" s="78">
        <f t="shared" si="2"/>
        <v>1.4</v>
      </c>
      <c r="F22" s="78">
        <f t="shared" si="3"/>
        <v>54.838709677419359</v>
      </c>
      <c r="G22" s="78">
        <f t="shared" si="4"/>
        <v>1.221133067367562</v>
      </c>
      <c r="H22" s="78">
        <f t="shared" si="5"/>
        <v>60.608610730078645</v>
      </c>
    </row>
    <row r="23" spans="1:8" x14ac:dyDescent="0.35">
      <c r="A23" s="116"/>
      <c r="B23" s="116"/>
      <c r="C23" s="70">
        <v>800</v>
      </c>
      <c r="D23" s="75">
        <v>3.1</v>
      </c>
      <c r="E23" s="78">
        <f t="shared" si="2"/>
        <v>1.9200000000000002</v>
      </c>
      <c r="F23" s="78">
        <f t="shared" si="3"/>
        <v>38.064516129032256</v>
      </c>
      <c r="G23" s="78">
        <f t="shared" si="4"/>
        <v>1.6816562510205999</v>
      </c>
      <c r="H23" s="78">
        <f t="shared" si="5"/>
        <v>45.753024160625813</v>
      </c>
    </row>
    <row r="24" spans="1:8" x14ac:dyDescent="0.35">
      <c r="A24" s="116"/>
      <c r="B24" s="116"/>
      <c r="C24" s="70">
        <v>900</v>
      </c>
      <c r="D24" s="75">
        <v>4.5999999999999996</v>
      </c>
      <c r="E24" s="78">
        <f t="shared" si="2"/>
        <v>2.5199999999999996</v>
      </c>
      <c r="F24" s="78">
        <f t="shared" si="3"/>
        <v>45.217391304347828</v>
      </c>
      <c r="G24" s="78">
        <f t="shared" si="4"/>
        <v>2.3158555133495868</v>
      </c>
      <c r="H24" s="78">
        <f t="shared" si="5"/>
        <v>49.655314927182893</v>
      </c>
    </row>
    <row r="25" spans="1:8" x14ac:dyDescent="0.35">
      <c r="A25" s="116"/>
      <c r="B25" s="116"/>
      <c r="C25" s="70">
        <v>1000</v>
      </c>
      <c r="D25" s="75">
        <v>6</v>
      </c>
      <c r="E25" s="78">
        <f t="shared" si="2"/>
        <v>3.2</v>
      </c>
      <c r="F25" s="78">
        <f t="shared" si="3"/>
        <v>46.666666666666664</v>
      </c>
      <c r="G25" s="78">
        <f t="shared" si="4"/>
        <v>3.1892289256242159</v>
      </c>
      <c r="H25" s="78">
        <f t="shared" si="5"/>
        <v>46.846184572929737</v>
      </c>
    </row>
    <row r="26" spans="1:8" x14ac:dyDescent="0.35">
      <c r="A26" s="116"/>
      <c r="B26" s="116"/>
      <c r="C26" s="70">
        <v>1100</v>
      </c>
      <c r="D26" s="75">
        <v>7.7</v>
      </c>
      <c r="E26" s="78">
        <f t="shared" si="2"/>
        <v>3.96</v>
      </c>
      <c r="F26" s="78">
        <f t="shared" si="3"/>
        <v>48.571428571428569</v>
      </c>
      <c r="G26" s="78">
        <f t="shared" si="4"/>
        <v>4.3919757003004429</v>
      </c>
      <c r="H26" s="78">
        <f t="shared" si="5"/>
        <v>42.961354541552687</v>
      </c>
    </row>
    <row r="27" spans="1:8" x14ac:dyDescent="0.35">
      <c r="A27" s="116"/>
      <c r="B27" s="116"/>
      <c r="C27" s="71">
        <v>1200</v>
      </c>
      <c r="D27" s="76">
        <v>7.7</v>
      </c>
      <c r="E27" s="78">
        <f t="shared" si="2"/>
        <v>4.8</v>
      </c>
      <c r="F27" s="78">
        <f t="shared" si="3"/>
        <v>37.66233766233767</v>
      </c>
      <c r="G27" s="78">
        <f t="shared" si="4"/>
        <v>6.0483116771725989</v>
      </c>
      <c r="H27" s="78">
        <f t="shared" si="5"/>
        <v>21.450497699057159</v>
      </c>
    </row>
    <row r="28" spans="1:8" x14ac:dyDescent="0.35">
      <c r="A28" s="116" t="s">
        <v>92</v>
      </c>
      <c r="B28" s="116" t="s">
        <v>87</v>
      </c>
      <c r="C28" s="70">
        <v>300</v>
      </c>
      <c r="D28" s="74">
        <v>0.3</v>
      </c>
      <c r="E28" s="78">
        <f t="shared" si="2"/>
        <v>0.12</v>
      </c>
      <c r="F28" s="78">
        <f t="shared" si="3"/>
        <v>60</v>
      </c>
      <c r="G28" s="78">
        <f t="shared" si="4"/>
        <v>0.33952054154500533</v>
      </c>
      <c r="H28" s="78">
        <f t="shared" si="5"/>
        <v>-13.173513848335112</v>
      </c>
    </row>
    <row r="29" spans="1:8" x14ac:dyDescent="0.35">
      <c r="A29" s="116"/>
      <c r="B29" s="116"/>
      <c r="C29" s="70">
        <v>400</v>
      </c>
      <c r="D29" s="75">
        <v>0.63</v>
      </c>
      <c r="E29" s="78">
        <f t="shared" si="2"/>
        <v>0.32000000000000006</v>
      </c>
      <c r="F29" s="78">
        <f t="shared" si="3"/>
        <v>49.206349206349195</v>
      </c>
      <c r="G29" s="78">
        <f t="shared" si="4"/>
        <v>0.46756316432400663</v>
      </c>
      <c r="H29" s="78">
        <f t="shared" si="5"/>
        <v>25.783624710475138</v>
      </c>
    </row>
    <row r="30" spans="1:8" x14ac:dyDescent="0.35">
      <c r="A30" s="116"/>
      <c r="B30" s="116"/>
      <c r="C30" s="70">
        <v>500</v>
      </c>
      <c r="D30" s="75">
        <v>0.95</v>
      </c>
      <c r="E30" s="78">
        <f t="shared" si="2"/>
        <v>0.60000000000000009</v>
      </c>
      <c r="F30" s="78">
        <f t="shared" si="3"/>
        <v>36.842105263157883</v>
      </c>
      <c r="G30" s="78">
        <f t="shared" si="4"/>
        <v>0.64389421517136491</v>
      </c>
      <c r="H30" s="78">
        <f t="shared" si="5"/>
        <v>32.221661560908949</v>
      </c>
    </row>
    <row r="31" spans="1:8" x14ac:dyDescent="0.35">
      <c r="A31" s="116"/>
      <c r="B31" s="116"/>
      <c r="C31" s="70">
        <v>600</v>
      </c>
      <c r="D31" s="75">
        <v>0.95</v>
      </c>
      <c r="E31" s="78">
        <f t="shared" si="2"/>
        <v>0.96</v>
      </c>
      <c r="F31" s="78">
        <f t="shared" si="3"/>
        <v>-1.0526315789473695</v>
      </c>
      <c r="G31" s="78">
        <f t="shared" si="4"/>
        <v>0.88672460100779771</v>
      </c>
      <c r="H31" s="78">
        <f t="shared" si="5"/>
        <v>6.6605683149686588</v>
      </c>
    </row>
    <row r="32" spans="1:8" x14ac:dyDescent="0.35">
      <c r="A32" s="116"/>
      <c r="B32" s="116"/>
      <c r="C32" s="70">
        <v>700</v>
      </c>
      <c r="D32" s="75">
        <v>1.3</v>
      </c>
      <c r="E32" s="78">
        <f t="shared" si="2"/>
        <v>1.4</v>
      </c>
      <c r="F32" s="78">
        <f t="shared" si="3"/>
        <v>-7.692307692307681</v>
      </c>
      <c r="G32" s="78">
        <f t="shared" si="4"/>
        <v>1.221133067367562</v>
      </c>
      <c r="H32" s="78">
        <f t="shared" si="5"/>
        <v>6.0666871255721571</v>
      </c>
    </row>
    <row r="33" spans="1:8" x14ac:dyDescent="0.35">
      <c r="A33" s="116"/>
      <c r="B33" s="116"/>
      <c r="C33" s="70">
        <v>800</v>
      </c>
      <c r="D33" s="75">
        <v>1.3</v>
      </c>
      <c r="E33" s="78">
        <f t="shared" si="2"/>
        <v>1.9200000000000002</v>
      </c>
      <c r="F33" s="78">
        <f t="shared" si="3"/>
        <v>-47.692307692307701</v>
      </c>
      <c r="G33" s="78">
        <f t="shared" si="4"/>
        <v>1.6816562510205999</v>
      </c>
      <c r="H33" s="78">
        <f t="shared" si="5"/>
        <v>-29.358173155430755</v>
      </c>
    </row>
    <row r="34" spans="1:8" x14ac:dyDescent="0.35">
      <c r="A34" s="116"/>
      <c r="B34" s="116"/>
      <c r="C34" s="70">
        <v>900</v>
      </c>
      <c r="D34" s="75">
        <v>2.2000000000000002</v>
      </c>
      <c r="E34" s="78">
        <f t="shared" si="2"/>
        <v>2.5199999999999996</v>
      </c>
      <c r="F34" s="78">
        <f t="shared" si="3"/>
        <v>-14.545454545454517</v>
      </c>
      <c r="G34" s="78">
        <f t="shared" si="4"/>
        <v>2.3158555133495868</v>
      </c>
      <c r="H34" s="78">
        <f t="shared" si="5"/>
        <v>-5.2661596977084839</v>
      </c>
    </row>
    <row r="35" spans="1:8" x14ac:dyDescent="0.35">
      <c r="A35" s="116"/>
      <c r="B35" s="116"/>
      <c r="C35" s="70">
        <v>1000</v>
      </c>
      <c r="D35" s="75">
        <v>3.1</v>
      </c>
      <c r="E35" s="78">
        <f t="shared" si="2"/>
        <v>3.2</v>
      </c>
      <c r="F35" s="78">
        <f t="shared" si="3"/>
        <v>-3.2258064516129061</v>
      </c>
      <c r="G35" s="78">
        <f t="shared" si="4"/>
        <v>3.1892289256242159</v>
      </c>
      <c r="H35" s="78">
        <f t="shared" si="5"/>
        <v>-2.8783524394908322</v>
      </c>
    </row>
    <row r="36" spans="1:8" x14ac:dyDescent="0.35">
      <c r="A36" s="116"/>
      <c r="B36" s="116"/>
      <c r="C36" s="70">
        <v>1100</v>
      </c>
      <c r="D36" s="75">
        <v>4.5999999999999996</v>
      </c>
      <c r="E36" s="78">
        <f t="shared" si="2"/>
        <v>3.96</v>
      </c>
      <c r="F36" s="78">
        <f t="shared" si="3"/>
        <v>13.913043478260864</v>
      </c>
      <c r="G36" s="78">
        <f t="shared" si="4"/>
        <v>4.3919757003004429</v>
      </c>
      <c r="H36" s="78">
        <f t="shared" si="5"/>
        <v>4.522267384772972</v>
      </c>
    </row>
    <row r="37" spans="1:8" x14ac:dyDescent="0.35">
      <c r="A37" s="116"/>
      <c r="B37" s="116"/>
      <c r="C37" s="71">
        <v>1200</v>
      </c>
      <c r="D37" s="76">
        <v>6</v>
      </c>
      <c r="E37" s="78">
        <f t="shared" si="2"/>
        <v>4.8</v>
      </c>
      <c r="F37" s="78">
        <f t="shared" si="3"/>
        <v>20.000000000000004</v>
      </c>
      <c r="G37" s="78">
        <f t="shared" si="4"/>
        <v>6.0483116771725989</v>
      </c>
      <c r="H37" s="78">
        <f t="shared" si="5"/>
        <v>-0.80519461954331462</v>
      </c>
    </row>
    <row r="38" spans="1:8" x14ac:dyDescent="0.35">
      <c r="A38" s="116"/>
      <c r="B38" s="116" t="s">
        <v>88</v>
      </c>
      <c r="C38" s="70">
        <v>300</v>
      </c>
      <c r="D38" s="74">
        <v>0.45</v>
      </c>
      <c r="E38" s="78">
        <f t="shared" si="2"/>
        <v>0.12</v>
      </c>
      <c r="F38" s="78">
        <f t="shared" si="3"/>
        <v>73.333333333333329</v>
      </c>
      <c r="G38" s="78">
        <f t="shared" si="4"/>
        <v>0.33952054154500533</v>
      </c>
      <c r="H38" s="78">
        <f t="shared" si="5"/>
        <v>24.550990767776597</v>
      </c>
    </row>
    <row r="39" spans="1:8" x14ac:dyDescent="0.35">
      <c r="A39" s="116"/>
      <c r="B39" s="116"/>
      <c r="C39" s="70">
        <v>400</v>
      </c>
      <c r="D39" s="75">
        <v>0.95</v>
      </c>
      <c r="E39" s="78">
        <f t="shared" si="2"/>
        <v>0.32000000000000006</v>
      </c>
      <c r="F39" s="78">
        <f t="shared" si="3"/>
        <v>66.315789473684205</v>
      </c>
      <c r="G39" s="78">
        <f t="shared" si="4"/>
        <v>0.46756316432400663</v>
      </c>
      <c r="H39" s="78">
        <f t="shared" si="5"/>
        <v>50.782824807999297</v>
      </c>
    </row>
    <row r="40" spans="1:8" x14ac:dyDescent="0.35">
      <c r="A40" s="116"/>
      <c r="B40" s="116"/>
      <c r="C40" s="70">
        <v>500</v>
      </c>
      <c r="D40" s="75">
        <v>1.3</v>
      </c>
      <c r="E40" s="78">
        <f t="shared" si="2"/>
        <v>0.60000000000000009</v>
      </c>
      <c r="F40" s="78">
        <f t="shared" si="3"/>
        <v>53.846153846153847</v>
      </c>
      <c r="G40" s="78">
        <f t="shared" si="4"/>
        <v>0.64389421517136491</v>
      </c>
      <c r="H40" s="78">
        <f t="shared" si="5"/>
        <v>50.469675756048858</v>
      </c>
    </row>
    <row r="41" spans="1:8" x14ac:dyDescent="0.35">
      <c r="A41" s="116"/>
      <c r="B41" s="116"/>
      <c r="C41" s="70">
        <v>600</v>
      </c>
      <c r="D41" s="75">
        <v>1.3</v>
      </c>
      <c r="E41" s="78">
        <f t="shared" si="2"/>
        <v>0.96</v>
      </c>
      <c r="F41" s="78">
        <f t="shared" si="3"/>
        <v>26.153846153846157</v>
      </c>
      <c r="G41" s="78">
        <f t="shared" si="4"/>
        <v>0.88672460100779771</v>
      </c>
      <c r="H41" s="78">
        <f t="shared" si="5"/>
        <v>31.790415307092488</v>
      </c>
    </row>
    <row r="42" spans="1:8" x14ac:dyDescent="0.35">
      <c r="A42" s="116"/>
      <c r="B42" s="116"/>
      <c r="C42" s="70">
        <v>700</v>
      </c>
      <c r="D42" s="75">
        <v>1.6</v>
      </c>
      <c r="E42" s="78">
        <f t="shared" si="2"/>
        <v>1.4</v>
      </c>
      <c r="F42" s="78">
        <f t="shared" si="3"/>
        <v>12.500000000000011</v>
      </c>
      <c r="G42" s="78">
        <f t="shared" si="4"/>
        <v>1.221133067367562</v>
      </c>
      <c r="H42" s="78">
        <f t="shared" si="5"/>
        <v>23.679183289527376</v>
      </c>
    </row>
    <row r="43" spans="1:8" x14ac:dyDescent="0.35">
      <c r="A43" s="116"/>
      <c r="B43" s="116"/>
      <c r="C43" s="70">
        <v>800</v>
      </c>
      <c r="D43" s="75">
        <v>2.2000000000000002</v>
      </c>
      <c r="E43" s="78">
        <f t="shared" si="2"/>
        <v>1.9200000000000002</v>
      </c>
      <c r="F43" s="78">
        <f t="shared" si="3"/>
        <v>12.727272727272728</v>
      </c>
      <c r="G43" s="78">
        <f t="shared" si="4"/>
        <v>1.6816562510205999</v>
      </c>
      <c r="H43" s="78">
        <f t="shared" si="5"/>
        <v>23.561079499063649</v>
      </c>
    </row>
    <row r="44" spans="1:8" x14ac:dyDescent="0.35">
      <c r="A44" s="116"/>
      <c r="B44" s="116"/>
      <c r="C44" s="70">
        <v>900</v>
      </c>
      <c r="D44" s="75">
        <v>3.1</v>
      </c>
      <c r="E44" s="78">
        <f t="shared" si="2"/>
        <v>2.5199999999999996</v>
      </c>
      <c r="F44" s="78">
        <f t="shared" si="3"/>
        <v>18.709677419354854</v>
      </c>
      <c r="G44" s="78">
        <f t="shared" si="4"/>
        <v>2.3158555133495868</v>
      </c>
      <c r="H44" s="78">
        <f t="shared" si="5"/>
        <v>25.294983440335908</v>
      </c>
    </row>
    <row r="45" spans="1:8" x14ac:dyDescent="0.35">
      <c r="A45" s="116"/>
      <c r="B45" s="116"/>
      <c r="C45" s="70">
        <v>1000</v>
      </c>
      <c r="D45" s="75">
        <v>4.5999999999999996</v>
      </c>
      <c r="E45" s="78">
        <f t="shared" si="2"/>
        <v>3.2</v>
      </c>
      <c r="F45" s="78">
        <f t="shared" si="3"/>
        <v>30.434782608695642</v>
      </c>
      <c r="G45" s="78">
        <f t="shared" si="4"/>
        <v>3.1892289256242159</v>
      </c>
      <c r="H45" s="78">
        <f t="shared" si="5"/>
        <v>30.668936399473562</v>
      </c>
    </row>
    <row r="46" spans="1:8" x14ac:dyDescent="0.35">
      <c r="A46" s="116"/>
      <c r="B46" s="116"/>
      <c r="C46" s="70">
        <v>1100</v>
      </c>
      <c r="D46" s="75">
        <v>7</v>
      </c>
      <c r="E46" s="78">
        <f t="shared" si="2"/>
        <v>3.96</v>
      </c>
      <c r="F46" s="78">
        <f t="shared" si="3"/>
        <v>43.428571428571431</v>
      </c>
      <c r="G46" s="78">
        <f t="shared" si="4"/>
        <v>4.3919757003004429</v>
      </c>
      <c r="H46" s="78">
        <f t="shared" si="5"/>
        <v>37.257489995707957</v>
      </c>
    </row>
    <row r="47" spans="1:8" x14ac:dyDescent="0.35">
      <c r="A47" s="116"/>
      <c r="B47" s="116"/>
      <c r="C47" s="71">
        <v>1200</v>
      </c>
      <c r="D47" s="76">
        <v>7</v>
      </c>
      <c r="E47" s="78">
        <f t="shared" si="2"/>
        <v>4.8</v>
      </c>
      <c r="F47" s="78">
        <f t="shared" si="3"/>
        <v>31.428571428571434</v>
      </c>
      <c r="G47" s="78">
        <f t="shared" si="4"/>
        <v>6.0483116771725989</v>
      </c>
      <c r="H47" s="78">
        <f t="shared" si="5"/>
        <v>13.595547468962874</v>
      </c>
    </row>
    <row r="48" spans="1:8" x14ac:dyDescent="0.35">
      <c r="E48" s="115" t="s">
        <v>97</v>
      </c>
      <c r="F48" s="115"/>
      <c r="G48" s="115"/>
      <c r="H48" s="115"/>
    </row>
    <row r="49" spans="4:8" x14ac:dyDescent="0.35">
      <c r="D49" s="73" t="s">
        <v>13</v>
      </c>
      <c r="E49" s="77">
        <v>3.9999999999999998E-6</v>
      </c>
      <c r="F49" s="77"/>
      <c r="G49" s="77">
        <v>0.13</v>
      </c>
      <c r="H49" s="77"/>
    </row>
    <row r="50" spans="4:8" x14ac:dyDescent="0.35">
      <c r="D50" s="73" t="s">
        <v>80</v>
      </c>
      <c r="E50" s="77">
        <f>-200*E49</f>
        <v>-7.9999999999999993E-4</v>
      </c>
      <c r="F50" s="77"/>
      <c r="G50" s="77">
        <v>3.2000000000000002E-3</v>
      </c>
      <c r="H50" s="77"/>
    </row>
    <row r="51" spans="4:8" x14ac:dyDescent="0.35">
      <c r="E51" s="115" t="s">
        <v>98</v>
      </c>
      <c r="F51" s="115"/>
      <c r="G51" s="115"/>
      <c r="H51" s="115"/>
    </row>
    <row r="52" spans="4:8" x14ac:dyDescent="0.35">
      <c r="D52" s="73" t="s">
        <v>5</v>
      </c>
      <c r="E52" s="77"/>
      <c r="F52" s="81">
        <f>AVERAGE(F8:F47)</f>
        <v>32.200721856430683</v>
      </c>
      <c r="G52" s="77"/>
      <c r="H52" s="81">
        <f>AVERAGE(H8:H47)</f>
        <v>25.830219007389406</v>
      </c>
    </row>
    <row r="53" spans="4:8" x14ac:dyDescent="0.35">
      <c r="D53" s="73" t="s">
        <v>7</v>
      </c>
      <c r="E53" s="77"/>
      <c r="F53" s="81">
        <f>_xlfn.STDEV.S(F8:F47)</f>
        <v>27.554682627413744</v>
      </c>
      <c r="G53" s="77"/>
      <c r="H53" s="81">
        <f>_xlfn.STDEV.S(H8:H47)</f>
        <v>20.618574032074282</v>
      </c>
    </row>
    <row r="54" spans="4:8" x14ac:dyDescent="0.35">
      <c r="D54" s="19" t="s">
        <v>99</v>
      </c>
      <c r="E54" s="77"/>
      <c r="F54" s="81">
        <f>F52-1.64*F53</f>
        <v>-12.988957652527851</v>
      </c>
      <c r="G54" s="77"/>
      <c r="H54" s="81">
        <f>H52-1.64*H53</f>
        <v>-7.9842424052124166</v>
      </c>
    </row>
    <row r="55" spans="4:8" x14ac:dyDescent="0.35">
      <c r="D55" s="19" t="s">
        <v>100</v>
      </c>
      <c r="E55" s="77"/>
      <c r="F55" s="81">
        <f>F52+1.64*F53</f>
        <v>77.390401365389209</v>
      </c>
      <c r="G55" s="77"/>
      <c r="H55" s="81">
        <f>H52+1.64*H53</f>
        <v>59.644680419991232</v>
      </c>
    </row>
    <row r="57" spans="4:8" x14ac:dyDescent="0.35">
      <c r="F57" s="83"/>
      <c r="H57" s="83"/>
    </row>
  </sheetData>
  <mergeCells count="14">
    <mergeCell ref="A3:A4"/>
    <mergeCell ref="B3:B4"/>
    <mergeCell ref="E51:H51"/>
    <mergeCell ref="A8:A27"/>
    <mergeCell ref="B8:B17"/>
    <mergeCell ref="B18:B27"/>
    <mergeCell ref="B28:B37"/>
    <mergeCell ref="A28:A47"/>
    <mergeCell ref="B38:B47"/>
    <mergeCell ref="C3:C4"/>
    <mergeCell ref="D3:D4"/>
    <mergeCell ref="E3:F3"/>
    <mergeCell ref="G3:H3"/>
    <mergeCell ref="E48:H48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49"/>
  <sheetViews>
    <sheetView zoomScale="40" zoomScaleNormal="40" workbookViewId="0">
      <selection activeCell="T10" sqref="T10"/>
    </sheetView>
  </sheetViews>
  <sheetFormatPr defaultColWidth="8.8984375" defaultRowHeight="14.5" x14ac:dyDescent="0.35"/>
  <cols>
    <col min="1" max="9" width="7.8984375" style="15" customWidth="1"/>
    <col min="10" max="16384" width="8.8984375" style="15"/>
  </cols>
  <sheetData>
    <row r="1" spans="1:9" ht="18.5" x14ac:dyDescent="0.45">
      <c r="A1" s="92" t="s">
        <v>178</v>
      </c>
    </row>
    <row r="3" spans="1:9" x14ac:dyDescent="0.35">
      <c r="A3" s="120" t="s">
        <v>132</v>
      </c>
      <c r="B3" s="112" t="s">
        <v>133</v>
      </c>
      <c r="C3" s="112"/>
      <c r="D3" s="112"/>
      <c r="E3" s="112"/>
      <c r="F3" s="112"/>
      <c r="G3" s="112"/>
      <c r="H3" s="112"/>
      <c r="I3" s="112"/>
    </row>
    <row r="4" spans="1:9" x14ac:dyDescent="0.35">
      <c r="A4" s="120"/>
      <c r="B4" s="94">
        <v>3</v>
      </c>
      <c r="C4" s="94">
        <v>6</v>
      </c>
      <c r="D4" s="94">
        <v>9</v>
      </c>
      <c r="E4" s="94">
        <v>12</v>
      </c>
      <c r="F4" s="94">
        <v>15</v>
      </c>
      <c r="G4" s="94">
        <v>18</v>
      </c>
      <c r="H4" s="94">
        <v>21</v>
      </c>
      <c r="I4" s="94">
        <v>24</v>
      </c>
    </row>
    <row r="5" spans="1:9" x14ac:dyDescent="0.35">
      <c r="A5" s="85">
        <v>5</v>
      </c>
      <c r="B5" s="86" t="s">
        <v>101</v>
      </c>
      <c r="C5" s="86" t="s">
        <v>102</v>
      </c>
      <c r="D5" s="86" t="s">
        <v>103</v>
      </c>
      <c r="E5" s="86" t="s">
        <v>104</v>
      </c>
      <c r="F5" s="86" t="s">
        <v>105</v>
      </c>
      <c r="G5" s="86" t="s">
        <v>106</v>
      </c>
      <c r="H5" s="86" t="s">
        <v>107</v>
      </c>
      <c r="I5" s="86" t="s">
        <v>108</v>
      </c>
    </row>
    <row r="6" spans="1:9" x14ac:dyDescent="0.35">
      <c r="A6" s="85">
        <v>25</v>
      </c>
      <c r="B6" s="86" t="s">
        <v>102</v>
      </c>
      <c r="C6" s="86" t="s">
        <v>109</v>
      </c>
      <c r="D6" s="86" t="s">
        <v>105</v>
      </c>
      <c r="E6" s="86" t="s">
        <v>110</v>
      </c>
      <c r="F6" s="86" t="s">
        <v>108</v>
      </c>
      <c r="G6" s="86" t="s">
        <v>111</v>
      </c>
      <c r="H6" s="86" t="s">
        <v>112</v>
      </c>
      <c r="I6" s="86" t="s">
        <v>113</v>
      </c>
    </row>
    <row r="7" spans="1:9" x14ac:dyDescent="0.35">
      <c r="A7" s="85">
        <v>50</v>
      </c>
      <c r="B7" s="86" t="s">
        <v>114</v>
      </c>
      <c r="C7" s="86" t="s">
        <v>115</v>
      </c>
      <c r="D7" s="86" t="s">
        <v>116</v>
      </c>
      <c r="E7" s="86" t="s">
        <v>117</v>
      </c>
      <c r="F7" s="86" t="s">
        <v>118</v>
      </c>
      <c r="G7" s="86" t="s">
        <v>119</v>
      </c>
      <c r="H7" s="86" t="s">
        <v>120</v>
      </c>
      <c r="I7" s="86"/>
    </row>
    <row r="8" spans="1:9" x14ac:dyDescent="0.35">
      <c r="A8" s="85">
        <v>75</v>
      </c>
      <c r="B8" s="86" t="s">
        <v>121</v>
      </c>
      <c r="C8" s="86" t="s">
        <v>122</v>
      </c>
      <c r="D8" s="86" t="s">
        <v>108</v>
      </c>
      <c r="E8" s="86" t="s">
        <v>118</v>
      </c>
      <c r="F8" s="86" t="s">
        <v>119</v>
      </c>
      <c r="G8" s="86" t="s">
        <v>120</v>
      </c>
      <c r="H8" s="86"/>
      <c r="I8" s="86"/>
    </row>
    <row r="9" spans="1:9" x14ac:dyDescent="0.35">
      <c r="A9" s="85">
        <v>100</v>
      </c>
      <c r="B9" s="86" t="s">
        <v>109</v>
      </c>
      <c r="C9" s="86" t="s">
        <v>110</v>
      </c>
      <c r="D9" s="86" t="s">
        <v>117</v>
      </c>
      <c r="E9" s="86" t="s">
        <v>112</v>
      </c>
      <c r="F9" s="86" t="s">
        <v>123</v>
      </c>
      <c r="G9" s="86"/>
      <c r="H9" s="86"/>
      <c r="I9" s="86"/>
    </row>
    <row r="10" spans="1:9" x14ac:dyDescent="0.35">
      <c r="A10" s="85">
        <v>125</v>
      </c>
      <c r="B10" s="86" t="s">
        <v>124</v>
      </c>
      <c r="C10" s="86" t="s">
        <v>107</v>
      </c>
      <c r="D10" s="86" t="s">
        <v>118</v>
      </c>
      <c r="E10" s="86" t="s">
        <v>113</v>
      </c>
      <c r="F10" s="86"/>
      <c r="G10" s="86"/>
      <c r="H10" s="86"/>
      <c r="I10" s="86"/>
    </row>
    <row r="11" spans="1:9" x14ac:dyDescent="0.35">
      <c r="A11" s="85">
        <v>150</v>
      </c>
      <c r="B11" s="86" t="s">
        <v>125</v>
      </c>
      <c r="C11" s="86" t="s">
        <v>126</v>
      </c>
      <c r="D11" s="86" t="s">
        <v>127</v>
      </c>
      <c r="E11" s="86" t="s">
        <v>123</v>
      </c>
      <c r="F11" s="86"/>
      <c r="G11" s="86"/>
      <c r="H11" s="86"/>
      <c r="I11" s="86"/>
    </row>
    <row r="12" spans="1:9" x14ac:dyDescent="0.35">
      <c r="A12" s="87"/>
      <c r="B12" s="88"/>
      <c r="C12" s="88"/>
      <c r="D12" s="88"/>
      <c r="E12" s="88"/>
      <c r="F12" s="88"/>
      <c r="G12" s="88"/>
      <c r="H12" s="88"/>
      <c r="I12" s="88"/>
    </row>
    <row r="13" spans="1:9" ht="18.5" x14ac:dyDescent="0.45">
      <c r="B13" s="92" t="s">
        <v>131</v>
      </c>
    </row>
    <row r="15" spans="1:9" x14ac:dyDescent="0.35">
      <c r="B15" s="15" t="s">
        <v>136</v>
      </c>
    </row>
    <row r="16" spans="1:9" x14ac:dyDescent="0.35">
      <c r="A16" s="84"/>
      <c r="B16" s="82">
        <v>3</v>
      </c>
      <c r="C16" s="82">
        <v>6</v>
      </c>
      <c r="D16" s="82">
        <v>9</v>
      </c>
      <c r="E16" s="82">
        <v>12</v>
      </c>
      <c r="F16" s="82">
        <v>15</v>
      </c>
      <c r="G16" s="82">
        <v>18</v>
      </c>
      <c r="H16" s="82">
        <v>21</v>
      </c>
      <c r="I16" s="82">
        <v>24</v>
      </c>
    </row>
    <row r="17" spans="1:9" x14ac:dyDescent="0.35">
      <c r="A17" s="85">
        <v>5</v>
      </c>
      <c r="B17" s="91">
        <v>8.1</v>
      </c>
      <c r="C17" s="91">
        <v>15.4</v>
      </c>
      <c r="D17" s="91">
        <v>28</v>
      </c>
      <c r="E17" s="91">
        <v>43.3</v>
      </c>
      <c r="F17" s="91">
        <v>59.8</v>
      </c>
      <c r="G17" s="91">
        <v>80.7</v>
      </c>
      <c r="H17" s="91">
        <v>106.2</v>
      </c>
      <c r="I17" s="91">
        <v>129.30000000000001</v>
      </c>
    </row>
    <row r="18" spans="1:9" x14ac:dyDescent="0.35">
      <c r="A18" s="85">
        <v>25</v>
      </c>
      <c r="B18" s="91">
        <v>15.4</v>
      </c>
      <c r="C18" s="91">
        <v>36.6</v>
      </c>
      <c r="D18" s="91">
        <v>59.8</v>
      </c>
      <c r="E18" s="91">
        <v>89</v>
      </c>
      <c r="F18" s="91">
        <v>129.30000000000001</v>
      </c>
      <c r="G18" s="91">
        <v>159.5</v>
      </c>
      <c r="H18" s="91">
        <v>213.8</v>
      </c>
      <c r="I18" s="91">
        <v>258.2</v>
      </c>
    </row>
    <row r="19" spans="1:9" x14ac:dyDescent="0.35">
      <c r="A19" s="85">
        <v>50</v>
      </c>
      <c r="B19" s="91">
        <v>25.8</v>
      </c>
      <c r="C19" s="91">
        <v>54.7</v>
      </c>
      <c r="D19" s="91">
        <v>97.9</v>
      </c>
      <c r="E19" s="91">
        <v>144.19999999999999</v>
      </c>
      <c r="F19" s="91">
        <v>177.9</v>
      </c>
      <c r="G19" s="91">
        <v>230.6</v>
      </c>
      <c r="H19" s="91">
        <v>314.5</v>
      </c>
      <c r="I19" s="91"/>
    </row>
    <row r="20" spans="1:9" x14ac:dyDescent="0.35">
      <c r="A20" s="85">
        <v>75</v>
      </c>
      <c r="B20" s="91">
        <v>31.2</v>
      </c>
      <c r="C20" s="91">
        <v>73</v>
      </c>
      <c r="D20" s="91">
        <v>129.30000000000001</v>
      </c>
      <c r="E20" s="91">
        <v>177.9</v>
      </c>
      <c r="F20" s="91">
        <v>230.6</v>
      </c>
      <c r="G20" s="91">
        <v>314.5</v>
      </c>
      <c r="H20" s="91"/>
      <c r="I20" s="91"/>
    </row>
    <row r="21" spans="1:9" x14ac:dyDescent="0.35">
      <c r="A21" s="85">
        <v>100</v>
      </c>
      <c r="B21" s="91">
        <v>36.6</v>
      </c>
      <c r="C21" s="91">
        <v>89</v>
      </c>
      <c r="D21" s="91">
        <v>144.19999999999999</v>
      </c>
      <c r="E21" s="91">
        <v>213.8</v>
      </c>
      <c r="F21" s="91">
        <v>285.7</v>
      </c>
      <c r="G21" s="91"/>
      <c r="H21" s="91"/>
      <c r="I21" s="91"/>
    </row>
    <row r="22" spans="1:9" x14ac:dyDescent="0.35">
      <c r="A22" s="85">
        <v>125</v>
      </c>
      <c r="B22" s="91">
        <v>38.9</v>
      </c>
      <c r="C22" s="91">
        <v>106.2</v>
      </c>
      <c r="D22" s="91">
        <v>177.9</v>
      </c>
      <c r="E22" s="91">
        <v>258.2</v>
      </c>
      <c r="F22" s="91"/>
      <c r="G22" s="91"/>
      <c r="H22" s="91"/>
      <c r="I22" s="91"/>
    </row>
    <row r="23" spans="1:9" x14ac:dyDescent="0.35">
      <c r="A23" s="85">
        <v>150</v>
      </c>
      <c r="B23" s="91">
        <v>48.1</v>
      </c>
      <c r="C23" s="91">
        <v>115.6</v>
      </c>
      <c r="D23" s="91">
        <v>194</v>
      </c>
      <c r="E23" s="91">
        <v>285.7</v>
      </c>
      <c r="F23" s="91"/>
      <c r="G23" s="91"/>
      <c r="H23" s="91"/>
      <c r="I23" s="91"/>
    </row>
    <row r="25" spans="1:9" x14ac:dyDescent="0.35">
      <c r="B25" s="19" t="s">
        <v>128</v>
      </c>
      <c r="C25" s="19" t="s">
        <v>129</v>
      </c>
      <c r="D25" s="19" t="s">
        <v>130</v>
      </c>
      <c r="E25" s="19"/>
      <c r="F25" s="89"/>
      <c r="H25" s="93" t="s">
        <v>18</v>
      </c>
    </row>
    <row r="26" spans="1:9" x14ac:dyDescent="0.35">
      <c r="B26" s="95">
        <v>1.1499999999999999</v>
      </c>
      <c r="C26" s="95">
        <v>4.5999999999999999E-2</v>
      </c>
      <c r="D26" s="90">
        <v>-1.9</v>
      </c>
      <c r="E26" s="90"/>
      <c r="H26" s="15">
        <f>SUMSQ(B40:I46)</f>
        <v>2762.0619965855053</v>
      </c>
    </row>
    <row r="27" spans="1:9" x14ac:dyDescent="0.35">
      <c r="B27" s="90"/>
      <c r="C27" s="90"/>
      <c r="D27" s="90"/>
      <c r="E27" s="90"/>
    </row>
    <row r="28" spans="1:9" x14ac:dyDescent="0.35">
      <c r="B28" s="15" t="s">
        <v>135</v>
      </c>
      <c r="C28" s="90"/>
      <c r="D28" s="90"/>
      <c r="E28" s="90"/>
    </row>
    <row r="29" spans="1:9" x14ac:dyDescent="0.35">
      <c r="A29" s="84"/>
      <c r="B29" s="82">
        <v>3</v>
      </c>
      <c r="C29" s="82">
        <v>6</v>
      </c>
      <c r="D29" s="82">
        <v>9</v>
      </c>
      <c r="E29" s="82">
        <v>12</v>
      </c>
      <c r="F29" s="82">
        <v>15</v>
      </c>
      <c r="G29" s="82">
        <v>18</v>
      </c>
      <c r="H29" s="82">
        <v>21</v>
      </c>
      <c r="I29" s="82">
        <v>24</v>
      </c>
    </row>
    <row r="30" spans="1:9" x14ac:dyDescent="0.35">
      <c r="A30" s="85">
        <v>5</v>
      </c>
      <c r="B30" s="48">
        <f t="shared" ref="B30:I31" si="0">($B$26*B$29+$C$26*B$29^2)*SQRT($A30)+$D$26</f>
        <v>6.7401666650591867</v>
      </c>
      <c r="C30" s="48">
        <f t="shared" si="0"/>
        <v>17.231797615488201</v>
      </c>
      <c r="D30" s="48">
        <f t="shared" si="0"/>
        <v>29.574892851287043</v>
      </c>
      <c r="E30" s="48">
        <f t="shared" si="0"/>
        <v>43.76945237245571</v>
      </c>
      <c r="F30" s="48">
        <f t="shared" si="0"/>
        <v>59.815476178994203</v>
      </c>
      <c r="G30" s="48">
        <f t="shared" si="0"/>
        <v>77.712964270902503</v>
      </c>
      <c r="H30" s="48">
        <f t="shared" si="0"/>
        <v>97.461916648180647</v>
      </c>
      <c r="I30" s="48">
        <f t="shared" si="0"/>
        <v>119.06233331082862</v>
      </c>
    </row>
    <row r="31" spans="1:9" x14ac:dyDescent="0.35">
      <c r="A31" s="85">
        <v>25</v>
      </c>
      <c r="B31" s="48">
        <f t="shared" si="0"/>
        <v>17.420000000000002</v>
      </c>
      <c r="C31" s="48">
        <f t="shared" si="0"/>
        <v>40.879999999999995</v>
      </c>
      <c r="D31" s="48">
        <f t="shared" si="0"/>
        <v>68.47999999999999</v>
      </c>
      <c r="E31" s="48">
        <f t="shared" si="0"/>
        <v>100.22</v>
      </c>
      <c r="F31" s="48">
        <f t="shared" si="0"/>
        <v>136.1</v>
      </c>
      <c r="G31" s="48">
        <f t="shared" si="0"/>
        <v>176.11999999999998</v>
      </c>
      <c r="H31" s="48">
        <f t="shared" si="0"/>
        <v>220.28</v>
      </c>
      <c r="I31" s="48">
        <f t="shared" si="0"/>
        <v>268.58</v>
      </c>
    </row>
    <row r="32" spans="1:9" x14ac:dyDescent="0.35">
      <c r="A32" s="85">
        <v>50</v>
      </c>
      <c r="B32" s="48">
        <f t="shared" ref="B32:H32" si="1">($B$26*B$29+$C$26*B$29^2)*SQRT($A32)+$D$26</f>
        <v>25.422606025048196</v>
      </c>
      <c r="C32" s="48">
        <f t="shared" si="1"/>
        <v>58.600056198321006</v>
      </c>
      <c r="D32" s="48">
        <f t="shared" si="1"/>
        <v>97.632350519818431</v>
      </c>
      <c r="E32" s="48">
        <f t="shared" si="1"/>
        <v>142.51948898954046</v>
      </c>
      <c r="F32" s="48">
        <f t="shared" si="1"/>
        <v>193.26147160748712</v>
      </c>
      <c r="G32" s="48">
        <f t="shared" si="1"/>
        <v>249.85829837365839</v>
      </c>
      <c r="H32" s="48">
        <f t="shared" si="1"/>
        <v>312.30996928805428</v>
      </c>
      <c r="I32" s="48"/>
    </row>
    <row r="33" spans="1:9" x14ac:dyDescent="0.35">
      <c r="A33" s="85">
        <v>75</v>
      </c>
      <c r="B33" s="48">
        <f t="shared" ref="B33:G33" si="2">($B$26*B$29+$C$26*B$29^2)*SQRT($A33)+$D$26</f>
        <v>31.563221602230712</v>
      </c>
      <c r="C33" s="48">
        <f t="shared" si="2"/>
        <v>72.197133547796568</v>
      </c>
      <c r="D33" s="48">
        <f t="shared" si="2"/>
        <v>120.00173583669759</v>
      </c>
      <c r="E33" s="48">
        <f t="shared" si="2"/>
        <v>174.97702846893375</v>
      </c>
      <c r="F33" s="48">
        <f t="shared" si="2"/>
        <v>237.1230114445051</v>
      </c>
      <c r="G33" s="48">
        <f t="shared" si="2"/>
        <v>306.43968476341161</v>
      </c>
      <c r="H33" s="48"/>
      <c r="I33" s="48"/>
    </row>
    <row r="34" spans="1:9" x14ac:dyDescent="0.35">
      <c r="A34" s="85">
        <v>100</v>
      </c>
      <c r="B34" s="48">
        <f>($B$26*B$29+$C$26*B$29^2)*SQRT($A34)+$D$26</f>
        <v>36.74</v>
      </c>
      <c r="C34" s="48">
        <f>($B$26*C$29+$C$26*C$29^2)*SQRT($A34)+$D$26</f>
        <v>83.659999999999982</v>
      </c>
      <c r="D34" s="48">
        <f>($B$26*D$29+$C$26*D$29^2)*SQRT($A34)+$D$26</f>
        <v>138.85999999999999</v>
      </c>
      <c r="E34" s="48">
        <f>($B$26*E$29+$C$26*E$29^2)*SQRT($A34)+$D$26</f>
        <v>202.34</v>
      </c>
      <c r="F34" s="48">
        <f>($B$26*F$29+$C$26*F$29^2)*SQRT($A34)+$D$26</f>
        <v>274.10000000000002</v>
      </c>
      <c r="G34" s="48"/>
      <c r="H34" s="48"/>
      <c r="I34" s="48"/>
    </row>
    <row r="35" spans="1:9" x14ac:dyDescent="0.35">
      <c r="A35" s="85">
        <v>125</v>
      </c>
      <c r="B35" s="48">
        <f t="shared" ref="B35:E36" si="3">($B$26*B$29+$C$26*B$29^2)*SQRT($A35)+$D$26</f>
        <v>41.30083332529594</v>
      </c>
      <c r="C35" s="48">
        <f t="shared" si="3"/>
        <v>93.758988077440989</v>
      </c>
      <c r="D35" s="48">
        <f t="shared" si="3"/>
        <v>155.4744642564352</v>
      </c>
      <c r="E35" s="48">
        <f t="shared" si="3"/>
        <v>226.44726186227854</v>
      </c>
      <c r="F35" s="48"/>
      <c r="G35" s="48"/>
      <c r="H35" s="48"/>
      <c r="I35" s="48"/>
    </row>
    <row r="36" spans="1:9" x14ac:dyDescent="0.35">
      <c r="A36" s="85">
        <v>150</v>
      </c>
      <c r="B36" s="48">
        <f t="shared" si="3"/>
        <v>45.424141830571003</v>
      </c>
      <c r="C36" s="48">
        <f t="shared" si="3"/>
        <v>102.88917119626434</v>
      </c>
      <c r="D36" s="48">
        <f t="shared" si="3"/>
        <v>170.49508809708007</v>
      </c>
      <c r="E36" s="48">
        <f t="shared" si="3"/>
        <v>248.24189253301813</v>
      </c>
      <c r="F36" s="48"/>
      <c r="G36" s="48"/>
      <c r="H36" s="48"/>
      <c r="I36" s="48"/>
    </row>
    <row r="37" spans="1:9" x14ac:dyDescent="0.35">
      <c r="A37" s="87"/>
      <c r="B37" s="21"/>
      <c r="C37" s="21"/>
      <c r="D37" s="21"/>
      <c r="E37" s="21"/>
      <c r="F37" s="21"/>
      <c r="G37" s="21"/>
      <c r="H37" s="21"/>
      <c r="I37" s="21"/>
    </row>
    <row r="38" spans="1:9" x14ac:dyDescent="0.35">
      <c r="A38" s="87"/>
      <c r="B38" s="21" t="s">
        <v>134</v>
      </c>
      <c r="C38" s="21"/>
      <c r="D38" s="21"/>
      <c r="E38" s="21"/>
      <c r="F38" s="21"/>
      <c r="G38" s="21"/>
      <c r="H38" s="21"/>
      <c r="I38" s="21"/>
    </row>
    <row r="39" spans="1:9" x14ac:dyDescent="0.35">
      <c r="A39" s="84"/>
      <c r="B39" s="82">
        <v>3</v>
      </c>
      <c r="C39" s="82">
        <v>6</v>
      </c>
      <c r="D39" s="82">
        <v>9</v>
      </c>
      <c r="E39" s="82">
        <v>12</v>
      </c>
      <c r="F39" s="82">
        <v>15</v>
      </c>
      <c r="G39" s="82">
        <v>18</v>
      </c>
      <c r="H39" s="82">
        <v>21</v>
      </c>
      <c r="I39" s="82">
        <v>24</v>
      </c>
    </row>
    <row r="40" spans="1:9" x14ac:dyDescent="0.35">
      <c r="A40" s="85">
        <v>5</v>
      </c>
      <c r="B40" s="48">
        <f t="shared" ref="B40:I41" si="4">100*(B30-B17)/B17</f>
        <v>-16.78806586346683</v>
      </c>
      <c r="C40" s="48">
        <f t="shared" si="4"/>
        <v>11.894789710962343</v>
      </c>
      <c r="D40" s="48">
        <f t="shared" si="4"/>
        <v>5.6246173260251533</v>
      </c>
      <c r="E40" s="48">
        <f t="shared" si="4"/>
        <v>1.0841856176806304</v>
      </c>
      <c r="F40" s="48">
        <f t="shared" si="4"/>
        <v>2.5879897983621614E-2</v>
      </c>
      <c r="G40" s="48">
        <f t="shared" si="4"/>
        <v>-3.7014073470848814</v>
      </c>
      <c r="H40" s="48">
        <f t="shared" si="4"/>
        <v>-8.2279504254419535</v>
      </c>
      <c r="I40" s="48">
        <f t="shared" si="4"/>
        <v>-7.9177623272787239</v>
      </c>
    </row>
    <row r="41" spans="1:9" x14ac:dyDescent="0.35">
      <c r="A41" s="85">
        <v>25</v>
      </c>
      <c r="B41" s="48">
        <f t="shared" si="4"/>
        <v>13.116883116883125</v>
      </c>
      <c r="C41" s="48">
        <f t="shared" si="4"/>
        <v>11.693989071038235</v>
      </c>
      <c r="D41" s="48">
        <f t="shared" si="4"/>
        <v>14.51505016722407</v>
      </c>
      <c r="E41" s="48">
        <f t="shared" si="4"/>
        <v>12.606741573033707</v>
      </c>
      <c r="F41" s="48">
        <f t="shared" si="4"/>
        <v>5.2590873936581453</v>
      </c>
      <c r="G41" s="48">
        <f t="shared" si="4"/>
        <v>10.42006269592475</v>
      </c>
      <c r="H41" s="48">
        <f t="shared" si="4"/>
        <v>3.0308699719363843</v>
      </c>
      <c r="I41" s="48">
        <f t="shared" si="4"/>
        <v>4.0201394268009283</v>
      </c>
    </row>
    <row r="42" spans="1:9" x14ac:dyDescent="0.35">
      <c r="A42" s="85">
        <v>50</v>
      </c>
      <c r="B42" s="48">
        <f t="shared" ref="B42:H42" si="5">100*(B32-B19)/B19</f>
        <v>-1.4627673447744352</v>
      </c>
      <c r="C42" s="48">
        <f t="shared" si="5"/>
        <v>7.1299016422687451</v>
      </c>
      <c r="D42" s="48">
        <f t="shared" si="5"/>
        <v>-0.27339068455727777</v>
      </c>
      <c r="E42" s="48">
        <f t="shared" si="5"/>
        <v>-1.1654029198748446</v>
      </c>
      <c r="F42" s="48">
        <f t="shared" si="5"/>
        <v>8.6348912914486338</v>
      </c>
      <c r="G42" s="48">
        <f t="shared" si="5"/>
        <v>8.3513869790365955</v>
      </c>
      <c r="H42" s="48">
        <f t="shared" si="5"/>
        <v>-0.69635316755030963</v>
      </c>
      <c r="I42" s="48"/>
    </row>
    <row r="43" spans="1:9" x14ac:dyDescent="0.35">
      <c r="A43" s="85">
        <v>75</v>
      </c>
      <c r="B43" s="48">
        <f t="shared" ref="B43:G43" si="6">100*(B33-B20)/B20</f>
        <v>1.1641718020215148</v>
      </c>
      <c r="C43" s="48">
        <f t="shared" si="6"/>
        <v>-1.0998170578129205</v>
      </c>
      <c r="D43" s="48">
        <f t="shared" si="6"/>
        <v>-7.1912329182539976</v>
      </c>
      <c r="E43" s="48">
        <f t="shared" si="6"/>
        <v>-1.6430418949220083</v>
      </c>
      <c r="F43" s="48">
        <f t="shared" si="6"/>
        <v>2.8287126819189514</v>
      </c>
      <c r="G43" s="48">
        <f t="shared" si="6"/>
        <v>-2.5628983264192033</v>
      </c>
      <c r="H43" s="48"/>
      <c r="I43" s="48"/>
    </row>
    <row r="44" spans="1:9" x14ac:dyDescent="0.35">
      <c r="A44" s="85">
        <v>100</v>
      </c>
      <c r="B44" s="48">
        <f>100*(B34-B21)/B21</f>
        <v>0.38251366120218733</v>
      </c>
      <c r="C44" s="48">
        <f>100*(C34-C21)/C21</f>
        <v>-6.0000000000000204</v>
      </c>
      <c r="D44" s="48">
        <f>100*(D34-D21)/D21</f>
        <v>-3.7031900138696283</v>
      </c>
      <c r="E44" s="48">
        <f>100*(E34-E21)/E21</f>
        <v>-5.360149672591211</v>
      </c>
      <c r="F44" s="48">
        <f>100*(F34-F21)/F21</f>
        <v>-4.060203010150496</v>
      </c>
      <c r="G44" s="48"/>
      <c r="H44" s="48"/>
      <c r="I44" s="48"/>
    </row>
    <row r="45" spans="1:9" x14ac:dyDescent="0.35">
      <c r="A45" s="85">
        <v>125</v>
      </c>
      <c r="B45" s="48">
        <f t="shared" ref="B45:E46" si="7">100*(B35-B22)/B22</f>
        <v>6.171808034179799</v>
      </c>
      <c r="C45" s="48">
        <f t="shared" si="7"/>
        <v>-11.714700492051803</v>
      </c>
      <c r="D45" s="48">
        <f t="shared" si="7"/>
        <v>-12.60569743876605</v>
      </c>
      <c r="E45" s="48">
        <f t="shared" si="7"/>
        <v>-12.297729720263925</v>
      </c>
      <c r="F45" s="48"/>
      <c r="G45" s="48"/>
      <c r="H45" s="48"/>
      <c r="I45" s="48"/>
    </row>
    <row r="46" spans="1:9" x14ac:dyDescent="0.35">
      <c r="A46" s="85">
        <v>150</v>
      </c>
      <c r="B46" s="48">
        <f t="shared" si="7"/>
        <v>-5.5631146973575865</v>
      </c>
      <c r="C46" s="48">
        <f t="shared" si="7"/>
        <v>-10.995526646830148</v>
      </c>
      <c r="D46" s="48">
        <f t="shared" si="7"/>
        <v>-12.115933970577284</v>
      </c>
      <c r="E46" s="48">
        <f t="shared" si="7"/>
        <v>-13.110993163101805</v>
      </c>
      <c r="F46" s="48"/>
      <c r="G46" s="48"/>
      <c r="H46" s="48"/>
      <c r="I46" s="48"/>
    </row>
    <row r="49" spans="2:4" x14ac:dyDescent="0.35">
      <c r="B49" s="95"/>
      <c r="C49" s="95"/>
      <c r="D49" s="90"/>
    </row>
  </sheetData>
  <mergeCells count="2">
    <mergeCell ref="A3:A4"/>
    <mergeCell ref="B3:I3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65"/>
  <sheetViews>
    <sheetView zoomScale="25" zoomScaleNormal="25" workbookViewId="0">
      <selection activeCell="T41" sqref="T41"/>
    </sheetView>
  </sheetViews>
  <sheetFormatPr defaultColWidth="8.8984375" defaultRowHeight="14.5" x14ac:dyDescent="0.35"/>
  <cols>
    <col min="1" max="1" width="8.8984375" style="15"/>
    <col min="2" max="2" width="8.09765625" style="15" customWidth="1"/>
    <col min="3" max="9" width="7.59765625" style="15" customWidth="1"/>
    <col min="10" max="16384" width="8.8984375" style="15"/>
  </cols>
  <sheetData>
    <row r="1" spans="1:10" ht="18.5" x14ac:dyDescent="0.45">
      <c r="C1" s="24" t="s">
        <v>54</v>
      </c>
    </row>
    <row r="3" spans="1:10" x14ac:dyDescent="0.35">
      <c r="A3" s="109" t="s">
        <v>72</v>
      </c>
      <c r="B3" s="109" t="s">
        <v>62</v>
      </c>
      <c r="C3" s="108" t="s">
        <v>56</v>
      </c>
      <c r="D3" s="108"/>
      <c r="E3" s="108"/>
      <c r="F3" s="108"/>
      <c r="G3" s="108" t="s">
        <v>60</v>
      </c>
      <c r="H3" s="108"/>
      <c r="I3" s="108"/>
      <c r="J3" s="45"/>
    </row>
    <row r="4" spans="1:10" x14ac:dyDescent="0.35">
      <c r="A4" s="109"/>
      <c r="B4" s="109"/>
      <c r="C4" s="44" t="s">
        <v>55</v>
      </c>
      <c r="D4" s="44" t="s">
        <v>57</v>
      </c>
      <c r="E4" s="44" t="s">
        <v>58</v>
      </c>
      <c r="F4" s="44" t="s">
        <v>59</v>
      </c>
      <c r="G4" s="44" t="s">
        <v>57</v>
      </c>
      <c r="H4" s="44" t="s">
        <v>58</v>
      </c>
      <c r="I4" s="44" t="s">
        <v>59</v>
      </c>
    </row>
    <row r="5" spans="1:10" x14ac:dyDescent="0.35">
      <c r="A5" s="111" t="s">
        <v>70</v>
      </c>
      <c r="B5" s="58">
        <v>200</v>
      </c>
      <c r="C5" s="47">
        <f t="shared" ref="C5:C34" si="0">1.16*SQRT(0.0196+0.00000022*B5^2)-0.16</f>
        <v>3.5486674737691487E-2</v>
      </c>
      <c r="D5" s="46">
        <v>6.5000000000000002E-2</v>
      </c>
      <c r="E5" s="46">
        <v>6.9000000000000006E-2</v>
      </c>
      <c r="F5" s="46">
        <v>7.3999999999999996E-2</v>
      </c>
      <c r="G5" s="48">
        <f t="shared" ref="G5:G34" si="1">100*($C5-D5)/D5</f>
        <v>-45.405115788166945</v>
      </c>
      <c r="H5" s="48">
        <f t="shared" ref="H5:I5" si="2">100*($C5-E5)/E5</f>
        <v>-48.570036612041328</v>
      </c>
      <c r="I5" s="48">
        <f t="shared" si="2"/>
        <v>-52.045034138254749</v>
      </c>
    </row>
    <row r="6" spans="1:10" x14ac:dyDescent="0.35">
      <c r="A6" s="111"/>
      <c r="B6" s="58">
        <v>300</v>
      </c>
      <c r="C6" s="47">
        <f t="shared" si="0"/>
        <v>7.025342559883882E-2</v>
      </c>
      <c r="D6" s="60">
        <v>0.08</v>
      </c>
      <c r="E6" s="60">
        <v>0.09</v>
      </c>
      <c r="F6" s="60">
        <v>0.1</v>
      </c>
      <c r="G6" s="48">
        <f t="shared" si="1"/>
        <v>-12.183218001451475</v>
      </c>
      <c r="H6" s="48">
        <f t="shared" ref="H6:H34" si="3">100*($C6-E6)/E6</f>
        <v>-21.940638223512419</v>
      </c>
      <c r="I6" s="48">
        <f t="shared" ref="I6:I34" si="4">100*($C6-F6)/F6</f>
        <v>-29.746574401161183</v>
      </c>
    </row>
    <row r="7" spans="1:10" x14ac:dyDescent="0.35">
      <c r="A7" s="111"/>
      <c r="B7" s="58">
        <v>400</v>
      </c>
      <c r="C7" s="47">
        <f t="shared" si="0"/>
        <v>0.11154903792869528</v>
      </c>
      <c r="D7" s="60">
        <v>0.1</v>
      </c>
      <c r="E7" s="60">
        <v>0.11</v>
      </c>
      <c r="F7" s="60">
        <v>0.13</v>
      </c>
      <c r="G7" s="48">
        <f t="shared" si="1"/>
        <v>11.54903792869527</v>
      </c>
      <c r="H7" s="48">
        <f t="shared" si="3"/>
        <v>1.4082162988138878</v>
      </c>
      <c r="I7" s="48">
        <f t="shared" si="4"/>
        <v>-14.193047747157481</v>
      </c>
    </row>
    <row r="8" spans="1:10" x14ac:dyDescent="0.35">
      <c r="A8" s="111"/>
      <c r="B8" s="58">
        <v>500</v>
      </c>
      <c r="C8" s="47">
        <f t="shared" si="0"/>
        <v>0.15683080658294576</v>
      </c>
      <c r="D8" s="60">
        <v>0.12</v>
      </c>
      <c r="E8" s="60">
        <v>0.15</v>
      </c>
      <c r="F8" s="60">
        <v>0.16</v>
      </c>
      <c r="G8" s="48">
        <f t="shared" si="1"/>
        <v>30.692338819121478</v>
      </c>
      <c r="H8" s="48">
        <f t="shared" si="3"/>
        <v>4.5538710552971802</v>
      </c>
      <c r="I8" s="48">
        <f t="shared" si="4"/>
        <v>-1.9807458856588993</v>
      </c>
    </row>
    <row r="9" spans="1:10" x14ac:dyDescent="0.35">
      <c r="A9" s="111"/>
      <c r="B9" s="58">
        <v>600</v>
      </c>
      <c r="C9" s="47">
        <f t="shared" si="0"/>
        <v>0.2046166205756397</v>
      </c>
      <c r="D9" s="60">
        <v>0.13</v>
      </c>
      <c r="E9" s="60">
        <v>0.16</v>
      </c>
      <c r="F9" s="60">
        <v>0.18</v>
      </c>
      <c r="G9" s="48">
        <f t="shared" si="1"/>
        <v>57.397400442799764</v>
      </c>
      <c r="H9" s="48">
        <f t="shared" si="3"/>
        <v>27.885387859774813</v>
      </c>
      <c r="I9" s="48">
        <f t="shared" si="4"/>
        <v>13.675900319799839</v>
      </c>
    </row>
    <row r="10" spans="1:10" x14ac:dyDescent="0.35">
      <c r="A10" s="111"/>
      <c r="B10" s="58">
        <v>700</v>
      </c>
      <c r="C10" s="47">
        <f t="shared" si="0"/>
        <v>0.25404038450373412</v>
      </c>
      <c r="D10" s="60">
        <v>0.18</v>
      </c>
      <c r="E10" s="60">
        <v>0.24</v>
      </c>
      <c r="F10" s="60">
        <v>0.27</v>
      </c>
      <c r="G10" s="48">
        <f t="shared" si="1"/>
        <v>41.133546946518962</v>
      </c>
      <c r="H10" s="48">
        <f t="shared" si="3"/>
        <v>5.8501602098892196</v>
      </c>
      <c r="I10" s="48">
        <f t="shared" si="4"/>
        <v>-5.9109687023207034</v>
      </c>
    </row>
    <row r="11" spans="1:10" x14ac:dyDescent="0.35">
      <c r="A11" s="111"/>
      <c r="B11" s="58">
        <v>800</v>
      </c>
      <c r="C11" s="47">
        <f t="shared" si="0"/>
        <v>0.30457963795241816</v>
      </c>
      <c r="D11" s="60">
        <v>0.21</v>
      </c>
      <c r="E11" s="60">
        <v>0.27</v>
      </c>
      <c r="F11" s="60">
        <v>0.3</v>
      </c>
      <c r="G11" s="48">
        <f t="shared" si="1"/>
        <v>45.037922834484846</v>
      </c>
      <c r="H11" s="48">
        <f t="shared" si="3"/>
        <v>12.807273315710422</v>
      </c>
      <c r="I11" s="48">
        <f t="shared" si="4"/>
        <v>1.52654598413939</v>
      </c>
    </row>
    <row r="12" spans="1:10" x14ac:dyDescent="0.35">
      <c r="A12" s="111"/>
      <c r="B12" s="58">
        <v>900</v>
      </c>
      <c r="C12" s="47">
        <f t="shared" si="0"/>
        <v>0.35590665822414036</v>
      </c>
      <c r="D12" s="60">
        <v>0.24</v>
      </c>
      <c r="E12" s="60">
        <v>0.33</v>
      </c>
      <c r="F12" s="60">
        <v>0.36</v>
      </c>
      <c r="G12" s="48">
        <f t="shared" si="1"/>
        <v>48.294440926725159</v>
      </c>
      <c r="H12" s="48">
        <f t="shared" si="3"/>
        <v>7.8505024921637396</v>
      </c>
      <c r="I12" s="48">
        <f t="shared" si="4"/>
        <v>-1.1370393821832296</v>
      </c>
    </row>
    <row r="13" spans="1:10" x14ac:dyDescent="0.35">
      <c r="A13" s="111"/>
      <c r="B13" s="58">
        <v>1000</v>
      </c>
      <c r="C13" s="47">
        <f t="shared" si="0"/>
        <v>0.40780785482414728</v>
      </c>
      <c r="D13" s="60">
        <v>0.28999999999999998</v>
      </c>
      <c r="E13" s="60">
        <v>0.38</v>
      </c>
      <c r="F13" s="60">
        <v>0.44</v>
      </c>
      <c r="G13" s="48">
        <f t="shared" si="1"/>
        <v>40.623398215223212</v>
      </c>
      <c r="H13" s="48">
        <f t="shared" si="3"/>
        <v>7.3178565326703344</v>
      </c>
      <c r="I13" s="48">
        <f t="shared" si="4"/>
        <v>-7.3163966308756194</v>
      </c>
    </row>
    <row r="14" spans="1:10" x14ac:dyDescent="0.35">
      <c r="A14" s="111"/>
      <c r="B14" s="58">
        <v>1100</v>
      </c>
      <c r="C14" s="47">
        <f t="shared" si="0"/>
        <v>0.46013908117453772</v>
      </c>
      <c r="D14" s="60">
        <v>0.34</v>
      </c>
      <c r="E14" s="60">
        <v>0.45</v>
      </c>
      <c r="F14" s="60">
        <v>0.51</v>
      </c>
      <c r="G14" s="48">
        <f t="shared" si="1"/>
        <v>35.335023874864028</v>
      </c>
      <c r="H14" s="48">
        <f t="shared" si="3"/>
        <v>2.2531291498972692</v>
      </c>
      <c r="I14" s="48">
        <f t="shared" si="4"/>
        <v>-9.7766507500906439</v>
      </c>
    </row>
    <row r="15" spans="1:10" x14ac:dyDescent="0.35">
      <c r="A15" s="111"/>
      <c r="B15" s="58">
        <v>1200</v>
      </c>
      <c r="C15" s="47">
        <f t="shared" si="0"/>
        <v>0.51280000000000003</v>
      </c>
      <c r="D15" s="60">
        <v>0.38</v>
      </c>
      <c r="E15" s="60">
        <v>0.49</v>
      </c>
      <c r="F15" s="60">
        <v>0.55000000000000004</v>
      </c>
      <c r="G15" s="48">
        <f t="shared" si="1"/>
        <v>34.947368421052637</v>
      </c>
      <c r="H15" s="48">
        <f t="shared" si="3"/>
        <v>4.6530612244898046</v>
      </c>
      <c r="I15" s="48">
        <f t="shared" si="4"/>
        <v>-6.7636363636363654</v>
      </c>
    </row>
    <row r="16" spans="1:10" ht="14.5" customHeight="1" x14ac:dyDescent="0.35">
      <c r="A16" s="111" t="s">
        <v>71</v>
      </c>
      <c r="B16" s="58">
        <v>500</v>
      </c>
      <c r="C16" s="47">
        <f t="shared" si="0"/>
        <v>0.15683080658294576</v>
      </c>
      <c r="D16" s="60">
        <v>0.14000000000000001</v>
      </c>
      <c r="E16" s="60">
        <v>0.17</v>
      </c>
      <c r="F16" s="60">
        <v>0.23</v>
      </c>
      <c r="G16" s="48">
        <f t="shared" si="1"/>
        <v>12.022004702104107</v>
      </c>
      <c r="H16" s="48">
        <f t="shared" si="3"/>
        <v>-7.7465843629730866</v>
      </c>
      <c r="I16" s="48">
        <f t="shared" si="4"/>
        <v>-31.812692790023583</v>
      </c>
    </row>
    <row r="17" spans="1:9" x14ac:dyDescent="0.35">
      <c r="A17" s="111"/>
      <c r="B17" s="58">
        <v>600</v>
      </c>
      <c r="C17" s="47">
        <f t="shared" si="0"/>
        <v>0.2046166205756397</v>
      </c>
      <c r="D17" s="60">
        <v>0.16</v>
      </c>
      <c r="E17" s="60">
        <v>0.2</v>
      </c>
      <c r="F17" s="60">
        <v>0.26</v>
      </c>
      <c r="G17" s="48">
        <f t="shared" si="1"/>
        <v>27.885387859774813</v>
      </c>
      <c r="H17" s="48">
        <f t="shared" si="3"/>
        <v>2.3083102878198449</v>
      </c>
      <c r="I17" s="48">
        <f t="shared" si="4"/>
        <v>-21.301299778600118</v>
      </c>
    </row>
    <row r="18" spans="1:9" x14ac:dyDescent="0.35">
      <c r="A18" s="111"/>
      <c r="B18" s="58">
        <v>800</v>
      </c>
      <c r="C18" s="47">
        <f t="shared" si="0"/>
        <v>0.30457963795241816</v>
      </c>
      <c r="D18" s="60">
        <v>0.21</v>
      </c>
      <c r="E18" s="60">
        <v>0.24</v>
      </c>
      <c r="F18" s="60">
        <v>0.31</v>
      </c>
      <c r="G18" s="48">
        <f t="shared" si="1"/>
        <v>45.037922834484846</v>
      </c>
      <c r="H18" s="48">
        <f t="shared" si="3"/>
        <v>26.908182480174236</v>
      </c>
      <c r="I18" s="48">
        <f t="shared" si="4"/>
        <v>-1.7485038863167224</v>
      </c>
    </row>
    <row r="19" spans="1:9" x14ac:dyDescent="0.35">
      <c r="A19" s="111"/>
      <c r="B19" s="58">
        <v>1000</v>
      </c>
      <c r="C19" s="47">
        <f t="shared" si="0"/>
        <v>0.40780785482414728</v>
      </c>
      <c r="D19" s="60">
        <v>0.27</v>
      </c>
      <c r="E19" s="60">
        <v>0.33</v>
      </c>
      <c r="F19" s="60">
        <v>0.41</v>
      </c>
      <c r="G19" s="48">
        <f t="shared" si="1"/>
        <v>51.039946231165644</v>
      </c>
      <c r="H19" s="48">
        <f t="shared" si="3"/>
        <v>23.578137825499169</v>
      </c>
      <c r="I19" s="48">
        <f t="shared" si="4"/>
        <v>-0.53466955508602443</v>
      </c>
    </row>
    <row r="20" spans="1:9" x14ac:dyDescent="0.35">
      <c r="A20" s="111"/>
      <c r="B20" s="58">
        <v>1200</v>
      </c>
      <c r="C20" s="47">
        <f t="shared" si="0"/>
        <v>0.51280000000000003</v>
      </c>
      <c r="D20" s="60">
        <v>0.36</v>
      </c>
      <c r="E20" s="60">
        <v>0.44</v>
      </c>
      <c r="F20" s="60">
        <v>0.52</v>
      </c>
      <c r="G20" s="48">
        <f t="shared" si="1"/>
        <v>42.444444444444457</v>
      </c>
      <c r="H20" s="48">
        <f t="shared" si="3"/>
        <v>16.54545454545455</v>
      </c>
      <c r="I20" s="48">
        <f t="shared" si="4"/>
        <v>-1.3846153846153815</v>
      </c>
    </row>
    <row r="21" spans="1:9" x14ac:dyDescent="0.35">
      <c r="A21" s="111"/>
      <c r="B21" s="58">
        <v>1400</v>
      </c>
      <c r="C21" s="47">
        <f t="shared" si="0"/>
        <v>0.61884303938598562</v>
      </c>
      <c r="D21" s="60">
        <v>0.47</v>
      </c>
      <c r="E21" s="60">
        <v>0.56000000000000005</v>
      </c>
      <c r="F21" s="60">
        <v>0.65</v>
      </c>
      <c r="G21" s="48">
        <f t="shared" si="1"/>
        <v>31.668731784252266</v>
      </c>
      <c r="H21" s="48">
        <f t="shared" si="3"/>
        <v>10.507685604640278</v>
      </c>
      <c r="I21" s="48">
        <f t="shared" si="4"/>
        <v>-4.7933785560022164</v>
      </c>
    </row>
    <row r="22" spans="1:9" x14ac:dyDescent="0.35">
      <c r="A22" s="111"/>
      <c r="B22" s="58">
        <v>1600</v>
      </c>
      <c r="C22" s="47">
        <f t="shared" si="0"/>
        <v>0.72555952933724321</v>
      </c>
      <c r="D22" s="60">
        <v>0.57999999999999996</v>
      </c>
      <c r="E22" s="60">
        <v>0.67</v>
      </c>
      <c r="F22" s="60">
        <v>0.79</v>
      </c>
      <c r="G22" s="48">
        <f t="shared" si="1"/>
        <v>25.096470575386771</v>
      </c>
      <c r="H22" s="48">
        <f t="shared" si="3"/>
        <v>8.2924670652601744</v>
      </c>
      <c r="I22" s="48">
        <f t="shared" si="4"/>
        <v>-8.1570216028806097</v>
      </c>
    </row>
    <row r="23" spans="1:9" x14ac:dyDescent="0.35">
      <c r="A23" s="111"/>
      <c r="B23" s="58">
        <v>800</v>
      </c>
      <c r="C23" s="47">
        <f t="shared" si="0"/>
        <v>0.30457963795241816</v>
      </c>
      <c r="D23" s="60">
        <v>0.23</v>
      </c>
      <c r="E23" s="60">
        <v>0.28999999999999998</v>
      </c>
      <c r="F23" s="60">
        <v>0.35</v>
      </c>
      <c r="G23" s="48">
        <f t="shared" si="1"/>
        <v>32.42592954452963</v>
      </c>
      <c r="H23" s="48">
        <f t="shared" si="3"/>
        <v>5.0274613629028204</v>
      </c>
      <c r="I23" s="48">
        <f t="shared" si="4"/>
        <v>-12.97724629930909</v>
      </c>
    </row>
    <row r="24" spans="1:9" x14ac:dyDescent="0.35">
      <c r="A24" s="111"/>
      <c r="B24" s="58">
        <v>1000</v>
      </c>
      <c r="C24" s="47">
        <f t="shared" si="0"/>
        <v>0.40780785482414728</v>
      </c>
      <c r="D24" s="60">
        <v>0.33</v>
      </c>
      <c r="E24" s="60">
        <v>0.41</v>
      </c>
      <c r="F24" s="60">
        <v>0.47</v>
      </c>
      <c r="G24" s="48">
        <f t="shared" si="1"/>
        <v>23.578137825499169</v>
      </c>
      <c r="H24" s="48">
        <f t="shared" si="3"/>
        <v>-0.53466955508602443</v>
      </c>
      <c r="I24" s="48">
        <f t="shared" si="4"/>
        <v>-13.232371314011212</v>
      </c>
    </row>
    <row r="25" spans="1:9" x14ac:dyDescent="0.35">
      <c r="A25" s="111"/>
      <c r="B25" s="58">
        <v>1200</v>
      </c>
      <c r="C25" s="47">
        <f t="shared" si="0"/>
        <v>0.51280000000000003</v>
      </c>
      <c r="D25" s="60">
        <v>0.41</v>
      </c>
      <c r="E25" s="60">
        <v>0.52</v>
      </c>
      <c r="F25" s="60">
        <v>0.57999999999999996</v>
      </c>
      <c r="G25" s="48">
        <f t="shared" si="1"/>
        <v>25.073170731707336</v>
      </c>
      <c r="H25" s="48">
        <f t="shared" si="3"/>
        <v>-1.3846153846153815</v>
      </c>
      <c r="I25" s="48">
        <f t="shared" si="4"/>
        <v>-11.586206896551712</v>
      </c>
    </row>
    <row r="26" spans="1:9" x14ac:dyDescent="0.35">
      <c r="A26" s="111"/>
      <c r="B26" s="58">
        <v>800</v>
      </c>
      <c r="C26" s="47">
        <f t="shared" si="0"/>
        <v>0.30457963795241816</v>
      </c>
      <c r="D26" s="60">
        <v>0.22</v>
      </c>
      <c r="E26" s="60">
        <v>0.28999999999999998</v>
      </c>
      <c r="F26" s="60">
        <v>0.35</v>
      </c>
      <c r="G26" s="48">
        <f t="shared" si="1"/>
        <v>38.445289978371889</v>
      </c>
      <c r="H26" s="48">
        <f t="shared" si="3"/>
        <v>5.0274613629028204</v>
      </c>
      <c r="I26" s="48">
        <f t="shared" si="4"/>
        <v>-12.97724629930909</v>
      </c>
    </row>
    <row r="27" spans="1:9" x14ac:dyDescent="0.35">
      <c r="A27" s="111"/>
      <c r="B27" s="58">
        <v>1000</v>
      </c>
      <c r="C27" s="47">
        <f t="shared" si="0"/>
        <v>0.40780785482414728</v>
      </c>
      <c r="D27" s="60">
        <v>0.28000000000000003</v>
      </c>
      <c r="E27" s="60">
        <v>0.35</v>
      </c>
      <c r="F27" s="60">
        <v>0.41</v>
      </c>
      <c r="G27" s="48">
        <f t="shared" si="1"/>
        <v>45.64566243719544</v>
      </c>
      <c r="H27" s="48">
        <f t="shared" si="3"/>
        <v>16.516529949756372</v>
      </c>
      <c r="I27" s="48">
        <f t="shared" si="4"/>
        <v>-0.53466955508602443</v>
      </c>
    </row>
    <row r="28" spans="1:9" x14ac:dyDescent="0.35">
      <c r="A28" s="111" t="s">
        <v>73</v>
      </c>
      <c r="B28" s="58">
        <v>1000</v>
      </c>
      <c r="C28" s="47">
        <f t="shared" si="0"/>
        <v>0.40780785482414728</v>
      </c>
      <c r="D28" s="61">
        <v>0.23</v>
      </c>
      <c r="E28" s="61">
        <v>0.31</v>
      </c>
      <c r="F28" s="61">
        <v>0.37</v>
      </c>
      <c r="G28" s="48">
        <f t="shared" si="1"/>
        <v>77.307762967020537</v>
      </c>
      <c r="H28" s="48">
        <f t="shared" si="3"/>
        <v>31.550920911015254</v>
      </c>
      <c r="I28" s="48">
        <f t="shared" si="4"/>
        <v>10.218339141661428</v>
      </c>
    </row>
    <row r="29" spans="1:9" x14ac:dyDescent="0.35">
      <c r="A29" s="111"/>
      <c r="B29" s="58">
        <v>1200</v>
      </c>
      <c r="C29" s="47">
        <f t="shared" si="0"/>
        <v>0.51280000000000003</v>
      </c>
      <c r="D29" s="61">
        <v>0.28999999999999998</v>
      </c>
      <c r="E29" s="61">
        <v>0.37</v>
      </c>
      <c r="F29" s="61">
        <v>0.44</v>
      </c>
      <c r="G29" s="48">
        <f t="shared" si="1"/>
        <v>76.827586206896569</v>
      </c>
      <c r="H29" s="48">
        <f t="shared" si="3"/>
        <v>38.594594594594611</v>
      </c>
      <c r="I29" s="48">
        <f t="shared" si="4"/>
        <v>16.54545454545455</v>
      </c>
    </row>
    <row r="30" spans="1:9" x14ac:dyDescent="0.35">
      <c r="A30" s="111"/>
      <c r="B30" s="58">
        <v>1400</v>
      </c>
      <c r="C30" s="47">
        <f t="shared" si="0"/>
        <v>0.61884303938598562</v>
      </c>
      <c r="D30" s="61">
        <v>0.35</v>
      </c>
      <c r="E30" s="61">
        <v>0.44</v>
      </c>
      <c r="F30" s="61">
        <v>0.52</v>
      </c>
      <c r="G30" s="48">
        <f t="shared" si="1"/>
        <v>76.812296967424473</v>
      </c>
      <c r="H30" s="48">
        <f t="shared" si="3"/>
        <v>40.64614531499673</v>
      </c>
      <c r="I30" s="48">
        <f t="shared" si="4"/>
        <v>19.00827680499723</v>
      </c>
    </row>
    <row r="31" spans="1:9" x14ac:dyDescent="0.35">
      <c r="A31" s="111"/>
      <c r="B31" s="58">
        <v>1600</v>
      </c>
      <c r="C31" s="47">
        <f t="shared" si="0"/>
        <v>0.72555952933724321</v>
      </c>
      <c r="D31" s="61">
        <v>0.41</v>
      </c>
      <c r="E31" s="61">
        <v>0.52</v>
      </c>
      <c r="F31" s="61">
        <v>0.63</v>
      </c>
      <c r="G31" s="48">
        <f t="shared" si="1"/>
        <v>76.965738862742256</v>
      </c>
      <c r="H31" s="48">
        <f t="shared" si="3"/>
        <v>39.530678718700614</v>
      </c>
      <c r="I31" s="48">
        <f t="shared" si="4"/>
        <v>15.168179259879874</v>
      </c>
    </row>
    <row r="32" spans="1:9" x14ac:dyDescent="0.35">
      <c r="A32" s="111"/>
      <c r="B32" s="58">
        <v>1200</v>
      </c>
      <c r="C32" s="47">
        <f t="shared" si="0"/>
        <v>0.51280000000000003</v>
      </c>
      <c r="D32" s="61">
        <v>0.35</v>
      </c>
      <c r="E32" s="61">
        <v>0.47</v>
      </c>
      <c r="F32" s="61">
        <v>0.52</v>
      </c>
      <c r="G32" s="48">
        <f t="shared" si="1"/>
        <v>46.514285714285734</v>
      </c>
      <c r="H32" s="48">
        <f t="shared" si="3"/>
        <v>9.1063829787234187</v>
      </c>
      <c r="I32" s="48">
        <f t="shared" si="4"/>
        <v>-1.3846153846153815</v>
      </c>
    </row>
    <row r="33" spans="1:9" x14ac:dyDescent="0.35">
      <c r="A33" s="111"/>
      <c r="B33" s="58">
        <v>1400</v>
      </c>
      <c r="C33" s="47">
        <f t="shared" si="0"/>
        <v>0.61884303938598562</v>
      </c>
      <c r="D33" s="61">
        <v>0.41</v>
      </c>
      <c r="E33" s="61">
        <v>0.52</v>
      </c>
      <c r="F33" s="61">
        <v>0.57999999999999996</v>
      </c>
      <c r="G33" s="48">
        <f t="shared" si="1"/>
        <v>50.937326679508693</v>
      </c>
      <c r="H33" s="48">
        <f t="shared" si="3"/>
        <v>19.00827680499723</v>
      </c>
      <c r="I33" s="48">
        <f t="shared" si="4"/>
        <v>6.6970757562044243</v>
      </c>
    </row>
    <row r="34" spans="1:9" x14ac:dyDescent="0.35">
      <c r="A34" s="111"/>
      <c r="B34" s="58">
        <v>1600</v>
      </c>
      <c r="C34" s="47">
        <f t="shared" si="0"/>
        <v>0.72555952933724321</v>
      </c>
      <c r="D34" s="61">
        <v>0.47</v>
      </c>
      <c r="E34" s="61">
        <v>0.57999999999999996</v>
      </c>
      <c r="F34" s="61">
        <v>0.64</v>
      </c>
      <c r="G34" s="48">
        <f t="shared" si="1"/>
        <v>54.37436794409431</v>
      </c>
      <c r="H34" s="48">
        <f t="shared" si="3"/>
        <v>25.096470575386771</v>
      </c>
      <c r="I34" s="48">
        <f t="shared" si="4"/>
        <v>13.36867645894425</v>
      </c>
    </row>
    <row r="36" spans="1:9" x14ac:dyDescent="0.35">
      <c r="C36" s="31" t="s">
        <v>61</v>
      </c>
      <c r="D36" s="32">
        <f>CORREL($C$5:$C$34,D5:D34)</f>
        <v>0.95932524873987668</v>
      </c>
      <c r="E36" s="32">
        <f>CORREL($C$5:$C$34,E5:E34)</f>
        <v>0.96636919634562968</v>
      </c>
      <c r="F36" s="32">
        <f>CORREL($C$5:$C$34,F5:F34)</f>
        <v>0.9703576325454587</v>
      </c>
      <c r="G36" s="32"/>
      <c r="H36" s="32"/>
      <c r="I36" s="32"/>
    </row>
    <row r="37" spans="1:9" ht="15.5" x14ac:dyDescent="0.35">
      <c r="F37" s="59" t="s">
        <v>76</v>
      </c>
    </row>
    <row r="38" spans="1:9" x14ac:dyDescent="0.35">
      <c r="F38" s="15" t="s">
        <v>2</v>
      </c>
      <c r="G38" s="15">
        <f>COUNT(G$5:G$34)</f>
        <v>30</v>
      </c>
      <c r="H38" s="15">
        <f t="shared" ref="H38:I38" si="5">COUNT(H$5:H$34)</f>
        <v>30</v>
      </c>
      <c r="I38" s="15">
        <f t="shared" si="5"/>
        <v>30</v>
      </c>
    </row>
    <row r="39" spans="1:9" x14ac:dyDescent="0.35">
      <c r="F39" s="15" t="s">
        <v>3</v>
      </c>
      <c r="G39" s="21">
        <f>MIN(G$5:G$34)</f>
        <v>-45.405115788166945</v>
      </c>
      <c r="H39" s="21">
        <f t="shared" ref="H39:I39" si="6">MIN(H$5:H$34)</f>
        <v>-48.570036612041328</v>
      </c>
      <c r="I39" s="21">
        <f t="shared" si="6"/>
        <v>-52.045034138254749</v>
      </c>
    </row>
    <row r="40" spans="1:9" x14ac:dyDescent="0.35">
      <c r="F40" s="15" t="s">
        <v>4</v>
      </c>
      <c r="G40" s="21">
        <f>MAX(G$5:G$34)</f>
        <v>77.307762967020537</v>
      </c>
      <c r="H40" s="21">
        <f t="shared" ref="H40:I40" si="7">MAX(H$5:H$34)</f>
        <v>40.64614531499673</v>
      </c>
      <c r="I40" s="21">
        <f t="shared" si="7"/>
        <v>19.00827680499723</v>
      </c>
    </row>
    <row r="41" spans="1:9" x14ac:dyDescent="0.35">
      <c r="F41" s="15" t="s">
        <v>5</v>
      </c>
      <c r="G41" s="21">
        <f>AVERAGE(G$5:G$34)</f>
        <v>38.250820297025186</v>
      </c>
      <c r="H41" s="21">
        <f t="shared" ref="H41:I41" si="8">AVERAGE(H$5:H$34)</f>
        <v>10.421602479443445</v>
      </c>
      <c r="I41" s="21">
        <f t="shared" si="8"/>
        <v>-5.169539434422167</v>
      </c>
    </row>
    <row r="42" spans="1:9" x14ac:dyDescent="0.35">
      <c r="F42" s="15" t="s">
        <v>7</v>
      </c>
      <c r="G42" s="21">
        <f>_xlfn.STDEV.S(G$5:G$34)</f>
        <v>25.639482618323274</v>
      </c>
      <c r="H42" s="21">
        <f t="shared" ref="H42:I42" si="9">_xlfn.STDEV.S(H$5:H$34)</f>
        <v>18.213557713251305</v>
      </c>
      <c r="I42" s="21">
        <f t="shared" si="9"/>
        <v>15.334982337521405</v>
      </c>
    </row>
    <row r="43" spans="1:9" x14ac:dyDescent="0.35">
      <c r="F43" s="15" t="s">
        <v>9</v>
      </c>
      <c r="G43" s="17">
        <f>G42/G41</f>
        <v>0.67029889605576087</v>
      </c>
      <c r="H43" s="17">
        <f t="shared" ref="H43:I43" si="10">H42/H41</f>
        <v>1.747673426344696</v>
      </c>
      <c r="I43" s="17">
        <f t="shared" si="10"/>
        <v>-2.9664117146318847</v>
      </c>
    </row>
    <row r="44" spans="1:9" x14ac:dyDescent="0.35">
      <c r="F44" s="15" t="s">
        <v>77</v>
      </c>
      <c r="G44" s="21">
        <f>G41-1.64*G42</f>
        <v>-3.7979311970249796</v>
      </c>
      <c r="H44" s="21">
        <f t="shared" ref="H44:I44" si="11">H41-1.64*H42</f>
        <v>-19.44863217028869</v>
      </c>
      <c r="I44" s="21">
        <f t="shared" si="11"/>
        <v>-30.31891046795727</v>
      </c>
    </row>
    <row r="45" spans="1:9" x14ac:dyDescent="0.35">
      <c r="F45" s="15" t="s">
        <v>78</v>
      </c>
      <c r="G45" s="21">
        <f>G41+1.64*G42</f>
        <v>80.299571791075351</v>
      </c>
      <c r="H45" s="21">
        <f t="shared" ref="H45:I45" si="12">H41+1.64*H42</f>
        <v>40.291837129175583</v>
      </c>
      <c r="I45" s="21">
        <f t="shared" si="12"/>
        <v>19.979831599112938</v>
      </c>
    </row>
    <row r="49" spans="3:9" ht="15.5" x14ac:dyDescent="0.35">
      <c r="G49" s="59" t="s">
        <v>74</v>
      </c>
    </row>
    <row r="50" spans="3:9" x14ac:dyDescent="0.35">
      <c r="F50" s="15">
        <v>-60</v>
      </c>
    </row>
    <row r="51" spans="3:9" x14ac:dyDescent="0.35">
      <c r="F51" s="15">
        <v>-50</v>
      </c>
      <c r="G51" s="56">
        <f t="shared" ref="G51:G65" si="13">FREQUENCY(G$5:G$34,$F51)-FREQUENCY(G$5:G$34,$F50)</f>
        <v>0</v>
      </c>
      <c r="H51" s="56">
        <f t="shared" ref="H51:H65" si="14">FREQUENCY(H$5:H$34,$F51)-FREQUENCY(H$5:H$34,$F50)</f>
        <v>0</v>
      </c>
      <c r="I51" s="56">
        <f t="shared" ref="I51:I65" si="15">FREQUENCY(I$5:I$34,$F51)-FREQUENCY(I$5:I$34,$F50)</f>
        <v>1</v>
      </c>
    </row>
    <row r="52" spans="3:9" x14ac:dyDescent="0.35">
      <c r="F52" s="15">
        <v>-40</v>
      </c>
      <c r="G52" s="56">
        <f t="shared" si="13"/>
        <v>1</v>
      </c>
      <c r="H52" s="56">
        <f t="shared" si="14"/>
        <v>1</v>
      </c>
      <c r="I52" s="56">
        <f t="shared" si="15"/>
        <v>0</v>
      </c>
    </row>
    <row r="53" spans="3:9" x14ac:dyDescent="0.35">
      <c r="F53" s="15">
        <v>-30</v>
      </c>
      <c r="G53" s="56">
        <f t="shared" si="13"/>
        <v>0</v>
      </c>
      <c r="H53" s="56">
        <f t="shared" si="14"/>
        <v>0</v>
      </c>
      <c r="I53" s="56">
        <f t="shared" si="15"/>
        <v>1</v>
      </c>
    </row>
    <row r="54" spans="3:9" x14ac:dyDescent="0.35">
      <c r="F54" s="15">
        <v>-20</v>
      </c>
      <c r="G54" s="56">
        <f t="shared" si="13"/>
        <v>0</v>
      </c>
      <c r="H54" s="56">
        <f t="shared" si="14"/>
        <v>1</v>
      </c>
      <c r="I54" s="56">
        <f t="shared" si="15"/>
        <v>2</v>
      </c>
    </row>
    <row r="55" spans="3:9" x14ac:dyDescent="0.35">
      <c r="C55"/>
      <c r="F55" s="15">
        <v>-10</v>
      </c>
      <c r="G55" s="56">
        <f t="shared" si="13"/>
        <v>1</v>
      </c>
      <c r="H55" s="56">
        <f t="shared" si="14"/>
        <v>0</v>
      </c>
      <c r="I55" s="56">
        <f t="shared" si="15"/>
        <v>5</v>
      </c>
    </row>
    <row r="56" spans="3:9" x14ac:dyDescent="0.35">
      <c r="F56" s="15">
        <v>0</v>
      </c>
      <c r="G56" s="56">
        <f t="shared" si="13"/>
        <v>0</v>
      </c>
      <c r="H56" s="56">
        <f t="shared" si="14"/>
        <v>3</v>
      </c>
      <c r="I56" s="56">
        <f t="shared" si="15"/>
        <v>13</v>
      </c>
    </row>
    <row r="57" spans="3:9" x14ac:dyDescent="0.35">
      <c r="F57" s="15">
        <v>10</v>
      </c>
      <c r="G57" s="56">
        <f t="shared" si="13"/>
        <v>0</v>
      </c>
      <c r="H57" s="56">
        <f t="shared" si="14"/>
        <v>12</v>
      </c>
      <c r="I57" s="56">
        <f t="shared" si="15"/>
        <v>2</v>
      </c>
    </row>
    <row r="58" spans="3:9" x14ac:dyDescent="0.35">
      <c r="F58" s="15">
        <v>20</v>
      </c>
      <c r="G58" s="56">
        <f t="shared" si="13"/>
        <v>2</v>
      </c>
      <c r="H58" s="56">
        <f t="shared" si="14"/>
        <v>5</v>
      </c>
      <c r="I58" s="56">
        <f t="shared" si="15"/>
        <v>6</v>
      </c>
    </row>
    <row r="59" spans="3:9" x14ac:dyDescent="0.35">
      <c r="F59" s="15">
        <v>30</v>
      </c>
      <c r="G59" s="56">
        <f t="shared" si="13"/>
        <v>4</v>
      </c>
      <c r="H59" s="56">
        <f t="shared" si="14"/>
        <v>4</v>
      </c>
      <c r="I59" s="56">
        <f t="shared" si="15"/>
        <v>0</v>
      </c>
    </row>
    <row r="60" spans="3:9" x14ac:dyDescent="0.35">
      <c r="F60" s="15">
        <v>40</v>
      </c>
      <c r="G60" s="56">
        <f t="shared" si="13"/>
        <v>6</v>
      </c>
      <c r="H60" s="56">
        <f t="shared" si="14"/>
        <v>3</v>
      </c>
      <c r="I60" s="56">
        <f t="shared" si="15"/>
        <v>0</v>
      </c>
    </row>
    <row r="61" spans="3:9" x14ac:dyDescent="0.35">
      <c r="F61" s="15">
        <v>50</v>
      </c>
      <c r="G61" s="56">
        <f t="shared" si="13"/>
        <v>8</v>
      </c>
      <c r="H61" s="56">
        <f t="shared" si="14"/>
        <v>1</v>
      </c>
      <c r="I61" s="56">
        <f t="shared" si="15"/>
        <v>0</v>
      </c>
    </row>
    <row r="62" spans="3:9" x14ac:dyDescent="0.35">
      <c r="F62" s="15">
        <v>60</v>
      </c>
      <c r="G62" s="56">
        <f t="shared" si="13"/>
        <v>4</v>
      </c>
      <c r="H62" s="56">
        <f t="shared" si="14"/>
        <v>0</v>
      </c>
      <c r="I62" s="56">
        <f t="shared" si="15"/>
        <v>0</v>
      </c>
    </row>
    <row r="63" spans="3:9" x14ac:dyDescent="0.35">
      <c r="F63" s="15">
        <v>70</v>
      </c>
      <c r="G63" s="56">
        <f t="shared" si="13"/>
        <v>0</v>
      </c>
      <c r="H63" s="56">
        <f t="shared" si="14"/>
        <v>0</v>
      </c>
      <c r="I63" s="56">
        <f t="shared" si="15"/>
        <v>0</v>
      </c>
    </row>
    <row r="64" spans="3:9" x14ac:dyDescent="0.35">
      <c r="F64" s="15">
        <v>80</v>
      </c>
      <c r="G64" s="56">
        <f t="shared" si="13"/>
        <v>4</v>
      </c>
      <c r="H64" s="56">
        <f t="shared" si="14"/>
        <v>0</v>
      </c>
      <c r="I64" s="56">
        <f t="shared" si="15"/>
        <v>0</v>
      </c>
    </row>
    <row r="65" spans="6:9" x14ac:dyDescent="0.35">
      <c r="F65" s="15">
        <v>90</v>
      </c>
      <c r="G65" s="56">
        <f t="shared" si="13"/>
        <v>0</v>
      </c>
      <c r="H65" s="56">
        <f t="shared" si="14"/>
        <v>0</v>
      </c>
      <c r="I65" s="56">
        <f t="shared" si="15"/>
        <v>0</v>
      </c>
    </row>
  </sheetData>
  <mergeCells count="7">
    <mergeCell ref="A28:A34"/>
    <mergeCell ref="C3:F3"/>
    <mergeCell ref="G3:I3"/>
    <mergeCell ref="A5:A15"/>
    <mergeCell ref="B3:B4"/>
    <mergeCell ref="A3:A4"/>
    <mergeCell ref="A16:A27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32"/>
  <sheetViews>
    <sheetView zoomScale="70" zoomScaleNormal="70" workbookViewId="0">
      <selection activeCell="P23" sqref="P23"/>
    </sheetView>
  </sheetViews>
  <sheetFormatPr defaultRowHeight="13" x14ac:dyDescent="0.3"/>
  <cols>
    <col min="2" max="3" width="14.59765625" customWidth="1"/>
  </cols>
  <sheetData>
    <row r="1" spans="2:6" ht="18.5" x14ac:dyDescent="0.45">
      <c r="B1" s="24" t="s">
        <v>179</v>
      </c>
    </row>
    <row r="2" spans="2:6" x14ac:dyDescent="0.3">
      <c r="B2" s="96" t="s">
        <v>137</v>
      </c>
      <c r="C2" s="96" t="s">
        <v>138</v>
      </c>
      <c r="E2" s="102" t="s">
        <v>162</v>
      </c>
    </row>
    <row r="3" spans="2:6" x14ac:dyDescent="0.3">
      <c r="B3" s="13">
        <v>696</v>
      </c>
      <c r="C3">
        <v>748</v>
      </c>
      <c r="E3" s="96" t="s">
        <v>163</v>
      </c>
      <c r="F3" s="5">
        <f>ABS(B27-C27)/SQRT(B30/B24+C30/C24)</f>
        <v>2.9832361052719799E-2</v>
      </c>
    </row>
    <row r="4" spans="2:6" x14ac:dyDescent="0.3">
      <c r="B4" s="13"/>
      <c r="E4" s="96" t="s">
        <v>165</v>
      </c>
      <c r="F4">
        <v>0.05</v>
      </c>
    </row>
    <row r="5" spans="2:6" x14ac:dyDescent="0.3">
      <c r="B5" s="13">
        <v>77</v>
      </c>
      <c r="C5">
        <v>182</v>
      </c>
      <c r="E5" s="96" t="s">
        <v>164</v>
      </c>
      <c r="F5">
        <v>1.96</v>
      </c>
    </row>
    <row r="6" spans="2:6" x14ac:dyDescent="0.3">
      <c r="B6" s="13">
        <v>1683</v>
      </c>
      <c r="C6">
        <v>1189</v>
      </c>
    </row>
    <row r="7" spans="2:6" x14ac:dyDescent="0.3">
      <c r="B7" s="13">
        <v>228</v>
      </c>
    </row>
    <row r="8" spans="2:6" x14ac:dyDescent="0.3">
      <c r="B8" s="13"/>
      <c r="C8">
        <v>209</v>
      </c>
      <c r="E8" s="101" t="s">
        <v>166</v>
      </c>
    </row>
    <row r="9" spans="2:6" x14ac:dyDescent="0.3">
      <c r="B9" s="13">
        <v>396</v>
      </c>
      <c r="C9">
        <v>304</v>
      </c>
      <c r="E9" s="96" t="s">
        <v>167</v>
      </c>
      <c r="F9" s="5">
        <f>B30/C30</f>
        <v>1.0096536895383423</v>
      </c>
    </row>
    <row r="10" spans="2:6" x14ac:dyDescent="0.3">
      <c r="B10" s="13">
        <v>380</v>
      </c>
      <c r="C10">
        <v>462</v>
      </c>
      <c r="E10" s="96" t="s">
        <v>168</v>
      </c>
      <c r="F10">
        <f>B24-1</f>
        <v>17</v>
      </c>
    </row>
    <row r="11" spans="2:6" x14ac:dyDescent="0.3">
      <c r="B11" s="13">
        <v>340</v>
      </c>
      <c r="C11">
        <v>255</v>
      </c>
      <c r="E11" s="96" t="s">
        <v>169</v>
      </c>
      <c r="F11">
        <f>C24-1</f>
        <v>15</v>
      </c>
    </row>
    <row r="12" spans="2:6" x14ac:dyDescent="0.3">
      <c r="B12" s="13">
        <v>114</v>
      </c>
      <c r="E12" s="96" t="s">
        <v>165</v>
      </c>
      <c r="F12">
        <v>0.05</v>
      </c>
    </row>
    <row r="13" spans="2:6" x14ac:dyDescent="0.3">
      <c r="B13" s="13">
        <v>798</v>
      </c>
      <c r="C13">
        <v>528</v>
      </c>
      <c r="E13" s="96" t="s">
        <v>170</v>
      </c>
      <c r="F13" s="97">
        <f>_xlfn.F.INV.RT(F12,F10,F11)</f>
        <v>2.3682701440117375</v>
      </c>
    </row>
    <row r="14" spans="2:6" x14ac:dyDescent="0.3">
      <c r="B14" s="13">
        <v>841</v>
      </c>
      <c r="C14">
        <v>540</v>
      </c>
    </row>
    <row r="15" spans="2:6" x14ac:dyDescent="0.3">
      <c r="B15" s="13">
        <v>650</v>
      </c>
      <c r="C15">
        <v>480</v>
      </c>
    </row>
    <row r="16" spans="2:6" x14ac:dyDescent="0.3">
      <c r="B16" s="13">
        <v>408</v>
      </c>
      <c r="C16">
        <v>308</v>
      </c>
      <c r="E16" t="s">
        <v>142</v>
      </c>
    </row>
    <row r="17" spans="1:11" x14ac:dyDescent="0.3">
      <c r="B17" s="13">
        <v>75</v>
      </c>
      <c r="C17">
        <v>143</v>
      </c>
    </row>
    <row r="18" spans="1:11" ht="13.5" thickBot="1" x14ac:dyDescent="0.35">
      <c r="B18" s="13">
        <v>175</v>
      </c>
      <c r="E18" t="s">
        <v>143</v>
      </c>
    </row>
    <row r="19" spans="1:11" x14ac:dyDescent="0.3">
      <c r="B19" s="13">
        <v>255</v>
      </c>
      <c r="C19">
        <v>432</v>
      </c>
      <c r="E19" s="100" t="s">
        <v>144</v>
      </c>
      <c r="F19" s="100" t="s">
        <v>145</v>
      </c>
      <c r="G19" s="100" t="s">
        <v>146</v>
      </c>
      <c r="H19" s="100" t="s">
        <v>147</v>
      </c>
      <c r="I19" s="100" t="s">
        <v>148</v>
      </c>
    </row>
    <row r="20" spans="1:11" x14ac:dyDescent="0.3">
      <c r="B20" s="13">
        <v>992</v>
      </c>
      <c r="C20">
        <v>1664</v>
      </c>
      <c r="E20" s="98" t="s">
        <v>149</v>
      </c>
      <c r="F20" s="98">
        <v>18</v>
      </c>
      <c r="G20" s="98">
        <v>9088</v>
      </c>
      <c r="H20" s="98">
        <v>504.88888888888891</v>
      </c>
      <c r="I20" s="98">
        <v>161681.63398692812</v>
      </c>
    </row>
    <row r="21" spans="1:11" ht="13.5" thickBot="1" x14ac:dyDescent="0.35">
      <c r="B21" s="13">
        <v>360</v>
      </c>
      <c r="C21">
        <v>280</v>
      </c>
      <c r="E21" s="99" t="s">
        <v>150</v>
      </c>
      <c r="F21" s="99">
        <v>16</v>
      </c>
      <c r="G21" s="99">
        <v>8144</v>
      </c>
      <c r="H21" s="99">
        <v>509</v>
      </c>
      <c r="I21" s="99">
        <v>160135.73333333334</v>
      </c>
    </row>
    <row r="22" spans="1:11" x14ac:dyDescent="0.3">
      <c r="B22" s="13">
        <v>620</v>
      </c>
      <c r="C22">
        <v>420</v>
      </c>
    </row>
    <row r="23" spans="1:11" x14ac:dyDescent="0.3">
      <c r="B23" s="13"/>
    </row>
    <row r="24" spans="1:11" ht="13.5" thickBot="1" x14ac:dyDescent="0.35">
      <c r="A24" s="103" t="s">
        <v>2</v>
      </c>
      <c r="B24">
        <f>COUNT(B3:B22)</f>
        <v>18</v>
      </c>
      <c r="C24">
        <f>COUNT(C3:C22)</f>
        <v>16</v>
      </c>
      <c r="D24" s="14"/>
      <c r="E24" t="s">
        <v>151</v>
      </c>
    </row>
    <row r="25" spans="1:11" x14ac:dyDescent="0.3">
      <c r="A25" s="103" t="s">
        <v>139</v>
      </c>
      <c r="B25" s="13">
        <f>MIN(B3:B22)</f>
        <v>75</v>
      </c>
      <c r="C25" s="13">
        <f>MIN(C3:C22)</f>
        <v>143</v>
      </c>
      <c r="D25" s="14"/>
      <c r="E25" s="100" t="s">
        <v>152</v>
      </c>
      <c r="F25" s="100" t="s">
        <v>153</v>
      </c>
      <c r="G25" s="100" t="s">
        <v>154</v>
      </c>
      <c r="H25" s="100" t="s">
        <v>155</v>
      </c>
      <c r="I25" s="100" t="s">
        <v>156</v>
      </c>
      <c r="J25" s="100" t="s">
        <v>157</v>
      </c>
      <c r="K25" s="100" t="s">
        <v>158</v>
      </c>
    </row>
    <row r="26" spans="1:11" x14ac:dyDescent="0.3">
      <c r="A26" s="103" t="s">
        <v>140</v>
      </c>
      <c r="B26" s="13">
        <f>MAX(B3:B22)</f>
        <v>1683</v>
      </c>
      <c r="C26" s="13">
        <f>MAX(C3:C22)</f>
        <v>1664</v>
      </c>
      <c r="D26" s="14"/>
      <c r="E26" s="98" t="s">
        <v>159</v>
      </c>
      <c r="F26" s="98">
        <v>143.16339869331568</v>
      </c>
      <c r="G26" s="98">
        <v>1</v>
      </c>
      <c r="H26" s="98">
        <v>143.16339869331568</v>
      </c>
      <c r="I26" s="98">
        <v>8.8945125014793067E-4</v>
      </c>
      <c r="J26" s="98">
        <v>0.9763929144184984</v>
      </c>
      <c r="K26" s="98">
        <v>4.1490974456995477</v>
      </c>
    </row>
    <row r="27" spans="1:11" x14ac:dyDescent="0.3">
      <c r="A27" s="103" t="s">
        <v>5</v>
      </c>
      <c r="B27" s="13">
        <f>AVERAGE(B3:B22)</f>
        <v>504.88888888888891</v>
      </c>
      <c r="C27" s="13">
        <f>AVERAGE(C3:C22)</f>
        <v>509</v>
      </c>
      <c r="D27" s="14"/>
      <c r="E27" s="98" t="s">
        <v>160</v>
      </c>
      <c r="F27" s="98">
        <v>5150623.777777778</v>
      </c>
      <c r="G27" s="98">
        <v>32</v>
      </c>
      <c r="H27" s="98">
        <v>160956.99305555556</v>
      </c>
      <c r="I27" s="98"/>
      <c r="J27" s="98"/>
      <c r="K27" s="98"/>
    </row>
    <row r="28" spans="1:11" x14ac:dyDescent="0.3">
      <c r="A28" s="103" t="s">
        <v>7</v>
      </c>
      <c r="B28" s="13">
        <f>_xlfn.STDEV.S(B3:B22)</f>
        <v>402.09654809128631</v>
      </c>
      <c r="C28" s="13">
        <f>_xlfn.STDEV.S(C3:C22)</f>
        <v>400.16963069844934</v>
      </c>
      <c r="D28" s="14"/>
      <c r="E28" s="98"/>
      <c r="F28" s="98"/>
      <c r="G28" s="98"/>
      <c r="H28" s="98"/>
      <c r="I28" s="98"/>
      <c r="J28" s="98"/>
      <c r="K28" s="98"/>
    </row>
    <row r="29" spans="1:11" ht="13.5" thickBot="1" x14ac:dyDescent="0.35">
      <c r="A29" s="103" t="s">
        <v>9</v>
      </c>
      <c r="B29" s="97">
        <f>B28/B27</f>
        <v>0.79640601514559339</v>
      </c>
      <c r="C29" s="97">
        <f>C28/C27</f>
        <v>0.78618787956473346</v>
      </c>
      <c r="D29" s="14"/>
      <c r="E29" s="99" t="s">
        <v>161</v>
      </c>
      <c r="F29" s="99">
        <v>5150766.9411764713</v>
      </c>
      <c r="G29" s="99">
        <v>33</v>
      </c>
      <c r="H29" s="99"/>
      <c r="I29" s="99"/>
      <c r="J29" s="99"/>
      <c r="K29" s="99"/>
    </row>
    <row r="30" spans="1:11" x14ac:dyDescent="0.3">
      <c r="A30" s="103" t="s">
        <v>141</v>
      </c>
      <c r="B30" s="13">
        <f>B28*B28</f>
        <v>161681.63398692812</v>
      </c>
      <c r="C30" s="13">
        <f>C28*C28</f>
        <v>160135.73333333334</v>
      </c>
      <c r="D30" s="14"/>
    </row>
    <row r="32" spans="1:11" x14ac:dyDescent="0.3">
      <c r="B32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Приклад_Бетон</vt:lpstr>
      <vt:lpstr>6.1</vt:lpstr>
      <vt:lpstr>6.2</vt:lpstr>
      <vt:lpstr>6.3</vt:lpstr>
      <vt:lpstr>6.4</vt:lpstr>
      <vt:lpstr>6.5</vt:lpstr>
      <vt:lpstr>6.6</vt:lpstr>
      <vt:lpstr>6.7</vt:lpstr>
      <vt:lpstr>6.8</vt:lpstr>
    </vt:vector>
  </TitlesOfParts>
  <Company>RUSSIA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 GAME 2010</dc:creator>
  <cp:lastModifiedBy>Пашинский Виктор</cp:lastModifiedBy>
  <dcterms:created xsi:type="dcterms:W3CDTF">2011-06-06T03:26:15Z</dcterms:created>
  <dcterms:modified xsi:type="dcterms:W3CDTF">2020-04-08T14:37:25Z</dcterms:modified>
</cp:coreProperties>
</file>